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bin\OneDrive\Desktop\Single\Credit Card Rewards Tracker Template\"/>
    </mc:Choice>
  </mc:AlternateContent>
  <bookViews>
    <workbookView xWindow="0" yWindow="0" windowWidth="28800" windowHeight="12210" activeTab="7"/>
  </bookViews>
  <sheets>
    <sheet name="Transactions" sheetId="1" r:id="rId1"/>
    <sheet name="Cards" sheetId="2" r:id="rId2"/>
    <sheet name="Redemptions" sheetId="3" r:id="rId3"/>
    <sheet name="Dashboard" sheetId="4" r:id="rId4"/>
    <sheet name="RewardsCalendar" sheetId="5" r:id="rId5"/>
    <sheet name="PrintableSummary" sheetId="6" r:id="rId6"/>
    <sheet name="Settings" sheetId="7" r:id="rId7"/>
    <sheet name="DISCLAIMER " sheetId="8" r:id="rId8"/>
  </sheets>
  <calcPr calcId="162913" iterate="1" iterateCount="1000" iterateDelta="0.01"/>
</workbook>
</file>

<file path=xl/calcChain.xml><?xml version="1.0" encoding="utf-8"?>
<calcChain xmlns="http://schemas.openxmlformats.org/spreadsheetml/2006/main">
  <c r="A35" i="6" l="1"/>
  <c r="A34" i="6"/>
  <c r="A33" i="6"/>
  <c r="A29" i="6"/>
  <c r="A28" i="6"/>
  <c r="A27" i="6"/>
  <c r="A26" i="6"/>
  <c r="A25" i="6"/>
  <c r="A24" i="6"/>
  <c r="A23" i="6"/>
  <c r="A22" i="6"/>
  <c r="A18" i="6"/>
  <c r="A17" i="6"/>
  <c r="A16" i="6"/>
  <c r="A15" i="6"/>
  <c r="A14" i="6"/>
  <c r="A13" i="6"/>
  <c r="B2" i="6"/>
  <c r="C14" i="5"/>
  <c r="B14" i="5"/>
  <c r="A14" i="5"/>
  <c r="C13" i="5"/>
  <c r="B13" i="5"/>
  <c r="A13" i="5"/>
  <c r="C12" i="5"/>
  <c r="B12" i="5"/>
  <c r="A12" i="5"/>
  <c r="C11" i="5"/>
  <c r="B11" i="5"/>
  <c r="A11" i="5"/>
  <c r="E10" i="5"/>
  <c r="F10" i="5" s="1"/>
  <c r="C10" i="5"/>
  <c r="B10" i="5"/>
  <c r="A10" i="5"/>
  <c r="E9" i="5"/>
  <c r="G9" i="5" s="1"/>
  <c r="D9" i="5"/>
  <c r="C9" i="5"/>
  <c r="B9" i="5"/>
  <c r="A9" i="5"/>
  <c r="D8" i="5"/>
  <c r="C8" i="5"/>
  <c r="B8" i="5"/>
  <c r="A8" i="5"/>
  <c r="C7" i="5"/>
  <c r="B7" i="5"/>
  <c r="A7" i="5"/>
  <c r="C6" i="5"/>
  <c r="B6" i="5"/>
  <c r="A6" i="5"/>
  <c r="C5" i="5"/>
  <c r="B5" i="5"/>
  <c r="A5" i="5"/>
  <c r="B2" i="5"/>
  <c r="E18" i="4"/>
  <c r="B25" i="6" s="1"/>
  <c r="C5" i="4"/>
  <c r="B7" i="6" s="1"/>
  <c r="H4" i="3"/>
  <c r="H3" i="3"/>
  <c r="P11" i="1"/>
  <c r="O11" i="1"/>
  <c r="E14" i="5" s="1"/>
  <c r="M11" i="1"/>
  <c r="L11" i="1"/>
  <c r="N11" i="1" s="1"/>
  <c r="E22" i="4" s="1"/>
  <c r="B29" i="6" s="1"/>
  <c r="P10" i="1"/>
  <c r="O10" i="1"/>
  <c r="E13" i="5" s="1"/>
  <c r="M10" i="1"/>
  <c r="L10" i="1"/>
  <c r="N10" i="1" s="1"/>
  <c r="B18" i="4" s="1"/>
  <c r="B16" i="6" s="1"/>
  <c r="P9" i="1"/>
  <c r="O9" i="1"/>
  <c r="E12" i="5" s="1"/>
  <c r="M9" i="1"/>
  <c r="L9" i="1"/>
  <c r="D12" i="5" s="1"/>
  <c r="P8" i="1"/>
  <c r="O8" i="1"/>
  <c r="E11" i="5" s="1"/>
  <c r="M8" i="1"/>
  <c r="N8" i="1" s="1"/>
  <c r="E21" i="4" s="1"/>
  <c r="B28" i="6" s="1"/>
  <c r="L8" i="1"/>
  <c r="D11" i="5" s="1"/>
  <c r="P7" i="1"/>
  <c r="O7" i="1"/>
  <c r="N7" i="1"/>
  <c r="E20" i="4" s="1"/>
  <c r="B27" i="6" s="1"/>
  <c r="M7" i="1"/>
  <c r="L7" i="1"/>
  <c r="D10" i="5" s="1"/>
  <c r="P6" i="1"/>
  <c r="O6" i="1"/>
  <c r="M6" i="1"/>
  <c r="L6" i="1"/>
  <c r="N6" i="1" s="1"/>
  <c r="P5" i="1"/>
  <c r="O5" i="1"/>
  <c r="E8" i="5" s="1"/>
  <c r="N5" i="1"/>
  <c r="M5" i="1"/>
  <c r="L5" i="1"/>
  <c r="P4" i="1"/>
  <c r="O4" i="1"/>
  <c r="E7" i="5" s="1"/>
  <c r="N4" i="1"/>
  <c r="E17" i="4" s="1"/>
  <c r="B24" i="6" s="1"/>
  <c r="M4" i="1"/>
  <c r="L4" i="1"/>
  <c r="D7" i="5" s="1"/>
  <c r="P3" i="1"/>
  <c r="O3" i="1"/>
  <c r="E6" i="5" s="1"/>
  <c r="N3" i="1"/>
  <c r="E16" i="4" s="1"/>
  <c r="B23" i="6" s="1"/>
  <c r="M3" i="1"/>
  <c r="L3" i="1"/>
  <c r="D6" i="5" s="1"/>
  <c r="P2" i="1"/>
  <c r="O2" i="1"/>
  <c r="E5" i="5" s="1"/>
  <c r="M2" i="1"/>
  <c r="N2" i="1" s="1"/>
  <c r="L2" i="1"/>
  <c r="H2" i="3" s="1"/>
  <c r="G11" i="5" l="1"/>
  <c r="F11" i="5"/>
  <c r="G13" i="5"/>
  <c r="F13" i="5"/>
  <c r="G6" i="5"/>
  <c r="F6" i="5"/>
  <c r="E5" i="4"/>
  <c r="B8" i="6" s="1"/>
  <c r="B15" i="4"/>
  <c r="B13" i="6" s="1"/>
  <c r="G8" i="5"/>
  <c r="F8" i="5"/>
  <c r="B10" i="4"/>
  <c r="B34" i="6" s="1"/>
  <c r="F12" i="5"/>
  <c r="G12" i="5"/>
  <c r="G14" i="5"/>
  <c r="F14" i="5"/>
  <c r="B9" i="4"/>
  <c r="B33" i="6" s="1"/>
  <c r="E19" i="4"/>
  <c r="B26" i="6" s="1"/>
  <c r="B19" i="4"/>
  <c r="B17" i="6" s="1"/>
  <c r="G5" i="5"/>
  <c r="F5" i="5"/>
  <c r="G7" i="5"/>
  <c r="F7" i="5"/>
  <c r="B11" i="4"/>
  <c r="B35" i="6" s="1"/>
  <c r="N9" i="1"/>
  <c r="E15" i="4" s="1"/>
  <c r="B22" i="6" s="1"/>
  <c r="H5" i="3"/>
  <c r="F9" i="5"/>
  <c r="G10" i="5"/>
  <c r="D14" i="5"/>
  <c r="B16" i="4"/>
  <c r="B14" i="6" s="1"/>
  <c r="B20" i="4"/>
  <c r="B18" i="6" s="1"/>
  <c r="D5" i="5"/>
  <c r="D13" i="5"/>
  <c r="B17" i="4"/>
  <c r="B15" i="6" s="1"/>
  <c r="B18" i="5" l="1"/>
  <c r="B19" i="5"/>
  <c r="G5" i="4"/>
  <c r="B9" i="6" s="1"/>
  <c r="A5" i="4"/>
  <c r="B6" i="6" s="1"/>
</calcChain>
</file>

<file path=xl/sharedStrings.xml><?xml version="1.0" encoding="utf-8"?>
<sst xmlns="http://schemas.openxmlformats.org/spreadsheetml/2006/main" count="271" uniqueCount="165">
  <si>
    <t>ID</t>
  </si>
  <si>
    <t>TransactionDate</t>
  </si>
  <si>
    <t>StatementDate</t>
  </si>
  <si>
    <t>CardName</t>
  </si>
  <si>
    <t>Merchant</t>
  </si>
  <si>
    <t>Category</t>
  </si>
  <si>
    <t>SpendAmount</t>
  </si>
  <si>
    <t>Currency</t>
  </si>
  <si>
    <t>RewardType</t>
  </si>
  <si>
    <t>RewardRate</t>
  </si>
  <si>
    <t>BonusFlag</t>
  </si>
  <si>
    <t>PointsOrCashEarned</t>
  </si>
  <si>
    <t>PointsValuePerUnit</t>
  </si>
  <si>
    <t>EffectiveValueUSD</t>
  </si>
  <si>
    <t>PointsExpiryDate</t>
  </si>
  <si>
    <t>StatementMonth</t>
  </si>
  <si>
    <t>Reconciled</t>
  </si>
  <si>
    <t>Notes</t>
  </si>
  <si>
    <t>2024-10-15</t>
  </si>
  <si>
    <t>2024-11-01</t>
  </si>
  <si>
    <t>Chase Sapphire Preferred</t>
  </si>
  <si>
    <t>Whole Foods</t>
  </si>
  <si>
    <t>Groceries</t>
  </si>
  <si>
    <t>USD</t>
  </si>
  <si>
    <t>Points</t>
  </si>
  <si>
    <t>No</t>
  </si>
  <si>
    <t>2024-10</t>
  </si>
  <si>
    <t>Weekly grocery run</t>
  </si>
  <si>
    <t>2024-10-18</t>
  </si>
  <si>
    <t>Amex Gold Card</t>
  </si>
  <si>
    <t>Olive Garden</t>
  </si>
  <si>
    <t>Dining</t>
  </si>
  <si>
    <t>Category Bonus</t>
  </si>
  <si>
    <t>Dinner with family</t>
  </si>
  <si>
    <t>2024-10-22</t>
  </si>
  <si>
    <t>Citi Double Cash</t>
  </si>
  <si>
    <t>Amazon</t>
  </si>
  <si>
    <t>Online Shopping</t>
  </si>
  <si>
    <t>Cashback</t>
  </si>
  <si>
    <t>Electronics purchase</t>
  </si>
  <si>
    <t>2024-11-05</t>
  </si>
  <si>
    <t>2024-12-01</t>
  </si>
  <si>
    <t>Capital One Venture X</t>
  </si>
  <si>
    <t>Delta Airlines</t>
  </si>
  <si>
    <t>Airlines</t>
  </si>
  <si>
    <t>Miles</t>
  </si>
  <si>
    <t>2024-11</t>
  </si>
  <si>
    <t>Flight booking</t>
  </si>
  <si>
    <t>2024-11-10</t>
  </si>
  <si>
    <t>Discover it Cash Back</t>
  </si>
  <si>
    <t>Shell Gas</t>
  </si>
  <si>
    <t>Gas</t>
  </si>
  <si>
    <t>Gas fill-up</t>
  </si>
  <si>
    <t>2024-11-15</t>
  </si>
  <si>
    <t>Chase Freedom Unlimited</t>
  </si>
  <si>
    <t>CVS Pharmacy</t>
  </si>
  <si>
    <t>Drug Stores</t>
  </si>
  <si>
    <t>Prescriptions</t>
  </si>
  <si>
    <t>2024-11-20</t>
  </si>
  <si>
    <t>Marriott Hotel</t>
  </si>
  <si>
    <t>Hotels</t>
  </si>
  <si>
    <t>Business trip</t>
  </si>
  <si>
    <t>2024-11-25</t>
  </si>
  <si>
    <t>Trader Joes</t>
  </si>
  <si>
    <t>Return/refund</t>
  </si>
  <si>
    <t>2025-01-01</t>
  </si>
  <si>
    <t>Hilton Hotels</t>
  </si>
  <si>
    <t>2024-12</t>
  </si>
  <si>
    <t>Holiday travel</t>
  </si>
  <si>
    <t>2024-12-05</t>
  </si>
  <si>
    <t>Target</t>
  </si>
  <si>
    <t>Department Stores</t>
  </si>
  <si>
    <t>Holiday shopping</t>
  </si>
  <si>
    <t>Issuer</t>
  </si>
  <si>
    <t>RewardCurrency</t>
  </si>
  <si>
    <t>BaseRate</t>
  </si>
  <si>
    <t>BonusCategories</t>
  </si>
  <si>
    <t>PointValueUSD</t>
  </si>
  <si>
    <t>PointsExpiryMonths</t>
  </si>
  <si>
    <t>AnnualFee</t>
  </si>
  <si>
    <t>WelcomeBonus</t>
  </si>
  <si>
    <t>Chase</t>
  </si>
  <si>
    <t>Travel, Dining</t>
  </si>
  <si>
    <t>3x on dining, 2x on travel</t>
  </si>
  <si>
    <t>American Express</t>
  </si>
  <si>
    <t>Dining, Groceries</t>
  </si>
  <si>
    <t>4x on restaurants, 4x groceries</t>
  </si>
  <si>
    <t>Citi</t>
  </si>
  <si>
    <t>All Categories</t>
  </si>
  <si>
    <t>2% on everything (1% earn + 1% pay)</t>
  </si>
  <si>
    <t>Capital One</t>
  </si>
  <si>
    <t>Travel, Hotels</t>
  </si>
  <si>
    <t>10x on hotels via portal</t>
  </si>
  <si>
    <t>Discover</t>
  </si>
  <si>
    <t>Rotating Categories</t>
  </si>
  <si>
    <t>5% rotating quarterly categories</t>
  </si>
  <si>
    <t>Travel, Dining, Drug Stores</t>
  </si>
  <si>
    <t>3% dining, 3% drugstores, 5% travel via portal</t>
  </si>
  <si>
    <t>RedemptionID</t>
  </si>
  <si>
    <t>Date</t>
  </si>
  <si>
    <t>UnitsRedeemed</t>
  </si>
  <si>
    <t>CashEquivalentUSD</t>
  </si>
  <si>
    <t>RedemptionMethod</t>
  </si>
  <si>
    <t>RemainingUnits</t>
  </si>
  <si>
    <t>Travel Portal</t>
  </si>
  <si>
    <t>Redeemed for travel credit</t>
  </si>
  <si>
    <t>Statement Credit</t>
  </si>
  <si>
    <t>Applied to statement</t>
  </si>
  <si>
    <t>Flight Redemption</t>
  </si>
  <si>
    <t>Partial redemption</t>
  </si>
  <si>
    <t>2024-12-10</t>
  </si>
  <si>
    <t>Gift Card</t>
  </si>
  <si>
    <t>Amazon gift card</t>
  </si>
  <si>
    <t>CREDIT CARD REWARDS DASHBOARD</t>
  </si>
  <si>
    <t>KEY METRICS</t>
  </si>
  <si>
    <t>Total Rewards YTD</t>
  </si>
  <si>
    <t>Avg Reward Rate (%)</t>
  </si>
  <si>
    <t>Top Card by Value</t>
  </si>
  <si>
    <t>Projected Annual Value</t>
  </si>
  <si>
    <t>Month</t>
  </si>
  <si>
    <t>TotalRewards</t>
  </si>
  <si>
    <t>REWARDS EXPIRY CALENDAR</t>
  </si>
  <si>
    <t>Today's Date:</t>
  </si>
  <si>
    <t>TransactionID</t>
  </si>
  <si>
    <t>PointsEarned</t>
  </si>
  <si>
    <t>ExpiryDate</t>
  </si>
  <si>
    <t>DaysUntilExpiry</t>
  </si>
  <si>
    <t>Status</t>
  </si>
  <si>
    <t>Summary:</t>
  </si>
  <si>
    <t>Points Expiring &lt;30 Days:</t>
  </si>
  <si>
    <t>Points Expiring 30-90 Days:</t>
  </si>
  <si>
    <t>CREDIT CARD REWARDS SUMMARY REPORT</t>
  </si>
  <si>
    <t>Generated:</t>
  </si>
  <si>
    <t>KEY PERFORMANCE INDICATORS</t>
  </si>
  <si>
    <t>Metric</t>
  </si>
  <si>
    <t>Value</t>
  </si>
  <si>
    <t>Average Reward Rate</t>
  </si>
  <si>
    <t>Top Performing Card</t>
  </si>
  <si>
    <t>REWARDS BY CARD</t>
  </si>
  <si>
    <t>Card Name</t>
  </si>
  <si>
    <t>Total Rewards ($)</t>
  </si>
  <si>
    <t>REWARDS BY CATEGORY</t>
  </si>
  <si>
    <t>MONTHLY REWARDS TREND</t>
  </si>
  <si>
    <t>Effective Value ($)</t>
  </si>
  <si>
    <t>Report generated from Credit-Card-Rewards-Tracker.xlsx</t>
  </si>
  <si>
    <t>Page 1 of 1</t>
  </si>
  <si>
    <t>Default Settings</t>
  </si>
  <si>
    <t>CategoryList</t>
  </si>
  <si>
    <t>RewardTypes</t>
  </si>
  <si>
    <t>Currencies</t>
  </si>
  <si>
    <t>BonusFlags</t>
  </si>
  <si>
    <t>DefaultPointValue</t>
  </si>
  <si>
    <t>Travel</t>
  </si>
  <si>
    <t>GBP</t>
  </si>
  <si>
    <t>EUR</t>
  </si>
  <si>
    <t>Welcome Bonus</t>
  </si>
  <si>
    <t>CAD</t>
  </si>
  <si>
    <t>Promotional</t>
  </si>
  <si>
    <t>AUD</t>
  </si>
  <si>
    <t>Streaming</t>
  </si>
  <si>
    <t>Utilities</t>
  </si>
  <si>
    <t>Entertainment</t>
  </si>
  <si>
    <t>Transit</t>
  </si>
  <si>
    <t>Other</t>
  </si>
  <si>
    <t>DISCLAIMER This template is intended for educational and informational use only. It does not represent financial or legal advice. © Credit Card Wind. All rights reserved.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</si>
</sst>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yyyy\-mm\-dd"/>
    <numFmt numFmtId="165" formatCode="\$#,##0.00"/>
    <numFmt numFmtId="166" formatCode="mm/dd/yyyy"/>
  </numFmts>
  <fonts count="13">
    <font>
      <sz val="11"/>
      <color theme="1"/>
      <name val="Calibri"/>
      <scheme val="minor"/>
    </font>
    <font>
      <b/>
      <sz val="11"/>
      <color rgb="FFFFFFFF"/>
      <name val="Aptos Narrow"/>
    </font>
    <font>
      <sz val="11"/>
      <name val="Calibri"/>
      <scheme val="minor"/>
    </font>
    <font>
      <b/>
      <sz val="12"/>
      <color rgb="FFCC0000"/>
      <name val="Aptos Narrow"/>
    </font>
    <font>
      <b/>
      <sz val="12"/>
      <color rgb="FFFFFFFF"/>
      <name val="Aptos Narrow"/>
    </font>
    <font>
      <b/>
      <sz val="16"/>
      <color rgb="FFFFFFFF"/>
      <name val="Aptos Narrow"/>
    </font>
    <font>
      <b/>
      <sz val="12"/>
      <name val="Aptos Narrow"/>
    </font>
    <font>
      <sz val="11"/>
      <name val="Aptos Narrow"/>
    </font>
    <font>
      <b/>
      <sz val="14"/>
      <name val="Aptos Narrow"/>
    </font>
    <font>
      <b/>
      <sz val="14"/>
      <color rgb="FFFFFFFF"/>
      <name val="Aptos Narrow"/>
    </font>
    <font>
      <b/>
      <sz val="11"/>
      <name val="Aptos Narrow"/>
    </font>
    <font>
      <i/>
      <sz val="9"/>
      <color rgb="FF666666"/>
      <name val="Aptos Narrow"/>
    </font>
    <font>
      <b/>
      <sz val="1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F2F2F2"/>
      </patternFill>
    </fill>
    <fill>
      <patternFill patternType="solid">
        <fgColor rgb="FFFFCCCC"/>
      </patternFill>
    </fill>
    <fill>
      <patternFill patternType="solid">
        <fgColor rgb="FFDCE6F1"/>
      </patternFill>
    </fill>
    <fill>
      <patternFill patternType="solid">
        <fgColor rgb="FF1F4E78"/>
      </patternFill>
    </fill>
    <fill>
      <patternFill patternType="solid">
        <fgColor rgb="FF4472C4"/>
      </patternFill>
    </fill>
    <fill>
      <patternFill patternType="solid">
        <fgColor rgb="FFD9E1F2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1F4E7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1">
      <alignment vertical="top"/>
    </xf>
  </cellStyleXfs>
  <cellXfs count="49">
    <xf numFmtId="0" fontId="0" fillId="0" borderId="1" xfId="0">
      <alignment vertical="top"/>
    </xf>
    <xf numFmtId="0" fontId="1" fillId="2" borderId="0" xfId="0" applyFont="1" applyFill="1" applyBorder="1" applyAlignment="1">
      <alignment horizontal="center" vertical="top"/>
    </xf>
    <xf numFmtId="3" fontId="2" fillId="3" borderId="0" xfId="0" applyNumberFormat="1" applyFont="1" applyFill="1" applyBorder="1">
      <alignment vertical="top"/>
    </xf>
    <xf numFmtId="164" fontId="2" fillId="3" borderId="0" xfId="0" applyNumberFormat="1" applyFont="1" applyFill="1" applyBorder="1">
      <alignment vertical="top"/>
    </xf>
    <xf numFmtId="49" fontId="2" fillId="3" borderId="0" xfId="0" applyNumberFormat="1" applyFont="1" applyFill="1" applyBorder="1">
      <alignment vertical="top"/>
    </xf>
    <xf numFmtId="165" fontId="2" fillId="3" borderId="0" xfId="0" applyNumberFormat="1" applyFont="1" applyFill="1" applyBorder="1">
      <alignment vertical="top"/>
    </xf>
    <xf numFmtId="4" fontId="2" fillId="3" borderId="0" xfId="0" applyNumberFormat="1" applyFont="1" applyFill="1" applyBorder="1">
      <alignment vertical="top"/>
    </xf>
    <xf numFmtId="0" fontId="2" fillId="3" borderId="0" xfId="0" applyFont="1" applyFill="1" applyBorder="1">
      <alignment vertical="top"/>
    </xf>
    <xf numFmtId="3" fontId="2" fillId="0" borderId="0" xfId="0" applyNumberFormat="1" applyFont="1" applyBorder="1">
      <alignment vertical="top"/>
    </xf>
    <xf numFmtId="164" fontId="2" fillId="0" borderId="0" xfId="0" applyNumberFormat="1" applyFont="1" applyBorder="1">
      <alignment vertical="top"/>
    </xf>
    <xf numFmtId="49" fontId="2" fillId="0" borderId="0" xfId="0" applyNumberFormat="1" applyFont="1" applyBorder="1">
      <alignment vertical="top"/>
    </xf>
    <xf numFmtId="165" fontId="2" fillId="0" borderId="0" xfId="0" applyNumberFormat="1" applyFont="1" applyBorder="1">
      <alignment vertical="top"/>
    </xf>
    <xf numFmtId="4" fontId="2" fillId="0" borderId="0" xfId="0" applyNumberFormat="1" applyFont="1" applyBorder="1">
      <alignment vertical="top"/>
    </xf>
    <xf numFmtId="0" fontId="2" fillId="0" borderId="0" xfId="0" applyFont="1" applyBorder="1">
      <alignment vertical="top"/>
    </xf>
    <xf numFmtId="165" fontId="3" fillId="4" borderId="0" xfId="0" applyNumberFormat="1" applyFont="1" applyFill="1" applyBorder="1">
      <alignment vertical="top"/>
    </xf>
    <xf numFmtId="0" fontId="4" fillId="2" borderId="2" xfId="0" applyFont="1" applyFill="1" applyBorder="1" applyAlignment="1">
      <alignment horizontal="center" vertical="center"/>
    </xf>
    <xf numFmtId="0" fontId="2" fillId="0" borderId="2" xfId="0" applyFont="1" applyBorder="1">
      <alignment vertical="top"/>
    </xf>
    <xf numFmtId="0" fontId="2" fillId="3" borderId="2" xfId="0" applyFont="1" applyFill="1" applyBorder="1">
      <alignment vertical="top"/>
    </xf>
    <xf numFmtId="3" fontId="2" fillId="3" borderId="2" xfId="0" applyNumberFormat="1" applyFont="1" applyFill="1" applyBorder="1">
      <alignment vertical="top"/>
    </xf>
    <xf numFmtId="164" fontId="2" fillId="3" borderId="2" xfId="0" applyNumberFormat="1" applyFont="1" applyFill="1" applyBorder="1">
      <alignment vertical="top"/>
    </xf>
    <xf numFmtId="49" fontId="2" fillId="3" borderId="2" xfId="0" applyNumberFormat="1" applyFont="1" applyFill="1" applyBorder="1">
      <alignment vertical="top"/>
    </xf>
    <xf numFmtId="4" fontId="2" fillId="3" borderId="2" xfId="0" applyNumberFormat="1" applyFont="1" applyFill="1" applyBorder="1">
      <alignment vertical="top"/>
    </xf>
    <xf numFmtId="3" fontId="2" fillId="0" borderId="2" xfId="0" applyNumberFormat="1" applyFont="1" applyBorder="1">
      <alignment vertical="top"/>
    </xf>
    <xf numFmtId="164" fontId="2" fillId="0" borderId="2" xfId="0" applyNumberFormat="1" applyFont="1" applyBorder="1">
      <alignment vertical="top"/>
    </xf>
    <xf numFmtId="49" fontId="2" fillId="0" borderId="2" xfId="0" applyNumberFormat="1" applyFont="1" applyBorder="1">
      <alignment vertical="top"/>
    </xf>
    <xf numFmtId="4" fontId="2" fillId="0" borderId="2" xfId="0" applyNumberFormat="1" applyFont="1" applyBorder="1">
      <alignment vertical="top"/>
    </xf>
    <xf numFmtId="0" fontId="5" fillId="2" borderId="0" xfId="0" applyFont="1" applyFill="1" applyBorder="1" applyAlignment="1">
      <alignment horizontal="center" vertical="center"/>
    </xf>
    <xf numFmtId="0" fontId="6" fillId="0" borderId="0" xfId="0" applyFont="1" applyBorder="1">
      <alignment vertical="top"/>
    </xf>
    <xf numFmtId="0" fontId="7" fillId="5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top"/>
    </xf>
    <xf numFmtId="0" fontId="9" fillId="2" borderId="0" xfId="0" applyFont="1" applyFill="1" applyBorder="1" applyAlignment="1">
      <alignment horizontal="center" vertical="center"/>
    </xf>
    <xf numFmtId="166" fontId="2" fillId="0" borderId="0" xfId="0" applyNumberFormat="1" applyFont="1" applyBorder="1">
      <alignment vertical="top"/>
    </xf>
    <xf numFmtId="0" fontId="4" fillId="2" borderId="0" xfId="0" applyFont="1" applyFill="1" applyBorder="1" applyAlignment="1">
      <alignment horizontal="center" vertical="center"/>
    </xf>
    <xf numFmtId="166" fontId="2" fillId="0" borderId="2" xfId="0" applyNumberFormat="1" applyFont="1" applyBorder="1">
      <alignment vertical="top"/>
    </xf>
    <xf numFmtId="0" fontId="10" fillId="0" borderId="0" xfId="0" applyFont="1" applyBorder="1">
      <alignment vertical="top"/>
    </xf>
    <xf numFmtId="0" fontId="5" fillId="6" borderId="0" xfId="0" applyFont="1" applyFill="1" applyBorder="1" applyAlignment="1">
      <alignment horizontal="center" vertical="center"/>
    </xf>
    <xf numFmtId="0" fontId="4" fillId="7" borderId="0" xfId="0" applyFont="1" applyFill="1" applyBorder="1" applyAlignment="1">
      <alignment horizontal="left" vertical="center"/>
    </xf>
    <xf numFmtId="0" fontId="10" fillId="8" borderId="4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center"/>
    </xf>
    <xf numFmtId="49" fontId="2" fillId="0" borderId="5" xfId="0" applyNumberFormat="1" applyFont="1" applyBorder="1">
      <alignment vertical="top"/>
    </xf>
    <xf numFmtId="3" fontId="2" fillId="0" borderId="5" xfId="0" applyNumberFormat="1" applyFont="1" applyBorder="1">
      <alignment vertical="top"/>
    </xf>
    <xf numFmtId="49" fontId="2" fillId="3" borderId="5" xfId="0" applyNumberFormat="1" applyFont="1" applyFill="1" applyBorder="1">
      <alignment vertical="top"/>
    </xf>
    <xf numFmtId="0" fontId="1" fillId="2" borderId="5" xfId="0" applyFont="1" applyFill="1" applyBorder="1" applyAlignment="1">
      <alignment horizontal="center" vertical="center"/>
    </xf>
    <xf numFmtId="0" fontId="0" fillId="0" borderId="1" xfId="0">
      <alignment vertical="top"/>
    </xf>
    <xf numFmtId="0" fontId="12" fillId="9" borderId="1" xfId="0" applyFont="1" applyFill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opLeftCell="I1" workbookViewId="0">
      <selection activeCell="M2" sqref="M2"/>
    </sheetView>
  </sheetViews>
  <sheetFormatPr defaultColWidth="8.85546875" defaultRowHeight="15" customHeight="1"/>
  <cols>
    <col min="1" max="1" width="2.85546875" customWidth="1"/>
    <col min="2" max="2" width="15.28515625" customWidth="1"/>
    <col min="3" max="3" width="13.7109375" customWidth="1"/>
    <col min="4" max="4" width="22.5703125" customWidth="1"/>
    <col min="5" max="5" width="12.7109375" customWidth="1"/>
    <col min="6" max="6" width="16.7109375" customWidth="1"/>
    <col min="7" max="7" width="13.42578125" customWidth="1"/>
    <col min="8" max="8" width="9" customWidth="1"/>
    <col min="9" max="9" width="12" customWidth="1"/>
    <col min="10" max="10" width="11.7109375" customWidth="1"/>
    <col min="11" max="11" width="13.85546875" customWidth="1"/>
    <col min="12" max="12" width="19.85546875" customWidth="1"/>
    <col min="13" max="13" width="18.28515625" customWidth="1"/>
    <col min="14" max="14" width="17.5703125" customWidth="1"/>
    <col min="15" max="15" width="16.42578125" customWidth="1"/>
    <col min="16" max="16" width="15.5703125" customWidth="1"/>
    <col min="17" max="17" width="10.28515625" customWidth="1"/>
    <col min="18" max="18" width="18" customWidth="1"/>
  </cols>
  <sheetData>
    <row r="1" spans="1:18" ht="1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ht="15" customHeight="1">
      <c r="A2" s="2">
        <v>1</v>
      </c>
      <c r="B2" s="3" t="s">
        <v>18</v>
      </c>
      <c r="C2" s="3" t="s">
        <v>19</v>
      </c>
      <c r="D2" s="4" t="s">
        <v>20</v>
      </c>
      <c r="E2" s="4" t="s">
        <v>21</v>
      </c>
      <c r="F2" s="4" t="s">
        <v>22</v>
      </c>
      <c r="G2" s="5">
        <v>125.5</v>
      </c>
      <c r="H2" s="4" t="s">
        <v>23</v>
      </c>
      <c r="I2" s="4" t="s">
        <v>24</v>
      </c>
      <c r="J2" s="2">
        <v>2</v>
      </c>
      <c r="K2" s="4" t="s">
        <v>25</v>
      </c>
      <c r="L2" s="6">
        <f t="shared" ref="L2:L11" si="0">IF(I2="Cashback",ROUND(G2*(J2/100),2),IF(OR(I2="Points",I2="Miles"),ROUND(G2*J2,2),0))</f>
        <v>251</v>
      </c>
      <c r="M2" s="6">
        <f>IFERROR(INDEX(Cards!$F$2:$F$7,MATCH(D2,Cards!$A$2:$A$7,0)),Settings!$B$2)</f>
        <v>1.2500000000000001E-2</v>
      </c>
      <c r="N2" s="6">
        <f t="shared" ref="N2:N11" si="1">IF(I2="Cashback",L2,IF(OR(I2="Points",I2="Miles"),ROUND(L2*M2,2),0))</f>
        <v>3.14</v>
      </c>
      <c r="O2" s="3" t="str">
        <f>IFERROR(IF(INDEX(Cards!$G$2:$G$7,MATCH(D2,Cards!$A$2:$A$7,0))&gt;0,EDATE(B2,INDEX(Cards!$G$2:$G$7,MATCH(D2,Cards!$A$2:$A$7,0))),""),"")</f>
        <v/>
      </c>
      <c r="P2" s="4" t="str">
        <f t="shared" ref="P2:P11" si="2">TEXT(B2,"yyyy-mm")</f>
        <v>2024-10</v>
      </c>
      <c r="Q2" s="7" t="b">
        <v>1</v>
      </c>
      <c r="R2" s="4" t="s">
        <v>27</v>
      </c>
    </row>
    <row r="3" spans="1:18" ht="15" customHeight="1">
      <c r="A3" s="8">
        <v>2</v>
      </c>
      <c r="B3" s="9" t="s">
        <v>28</v>
      </c>
      <c r="C3" s="9" t="s">
        <v>19</v>
      </c>
      <c r="D3" s="10" t="s">
        <v>29</v>
      </c>
      <c r="E3" s="10" t="s">
        <v>30</v>
      </c>
      <c r="F3" s="10" t="s">
        <v>31</v>
      </c>
      <c r="G3" s="11">
        <v>87.25</v>
      </c>
      <c r="H3" s="10" t="s">
        <v>23</v>
      </c>
      <c r="I3" s="10" t="s">
        <v>24</v>
      </c>
      <c r="J3" s="8">
        <v>4</v>
      </c>
      <c r="K3" s="10" t="s">
        <v>32</v>
      </c>
      <c r="L3" s="12">
        <f t="shared" si="0"/>
        <v>349</v>
      </c>
      <c r="M3" s="12">
        <f>IFERROR(INDEX(Cards!$F$2:$F$7,MATCH(D3,Cards!$A$2:$A$7,0)),Settings!$B$2)</f>
        <v>0.02</v>
      </c>
      <c r="N3" s="12">
        <f t="shared" si="1"/>
        <v>6.98</v>
      </c>
      <c r="O3" s="9" t="str">
        <f>IFERROR(IF(INDEX(Cards!$G$2:$G$7,MATCH(D3,Cards!$A$2:$A$7,0))&gt;0,EDATE(B3,INDEX(Cards!$G$2:$G$7,MATCH(D3,Cards!$A$2:$A$7,0))),""),"")</f>
        <v/>
      </c>
      <c r="P3" s="10" t="str">
        <f t="shared" si="2"/>
        <v>2024-10</v>
      </c>
      <c r="Q3" s="13" t="b">
        <v>1</v>
      </c>
      <c r="R3" s="10" t="s">
        <v>33</v>
      </c>
    </row>
    <row r="4" spans="1:18" ht="15" customHeight="1">
      <c r="A4" s="2">
        <v>3</v>
      </c>
      <c r="B4" s="3" t="s">
        <v>34</v>
      </c>
      <c r="C4" s="3" t="s">
        <v>19</v>
      </c>
      <c r="D4" s="4" t="s">
        <v>35</v>
      </c>
      <c r="E4" s="4" t="s">
        <v>36</v>
      </c>
      <c r="F4" s="4" t="s">
        <v>37</v>
      </c>
      <c r="G4" s="5">
        <v>245.99</v>
      </c>
      <c r="H4" s="4" t="s">
        <v>23</v>
      </c>
      <c r="I4" s="4" t="s">
        <v>38</v>
      </c>
      <c r="J4" s="2">
        <v>2</v>
      </c>
      <c r="K4" s="4" t="s">
        <v>25</v>
      </c>
      <c r="L4" s="6">
        <f t="shared" si="0"/>
        <v>4.92</v>
      </c>
      <c r="M4" s="6">
        <f>IFERROR(INDEX(Cards!$F$2:$F$7,MATCH(D4,Cards!$A$2:$A$7,0)),Settings!$B$2)</f>
        <v>0.01</v>
      </c>
      <c r="N4" s="6">
        <f t="shared" si="1"/>
        <v>4.92</v>
      </c>
      <c r="O4" s="3" t="str">
        <f>IFERROR(IF(INDEX(Cards!$G$2:$G$7,MATCH(D4,Cards!$A$2:$A$7,0))&gt;0,EDATE(B4,INDEX(Cards!$G$2:$G$7,MATCH(D4,Cards!$A$2:$A$7,0))),""),"")</f>
        <v/>
      </c>
      <c r="P4" s="4" t="str">
        <f t="shared" si="2"/>
        <v>2024-10</v>
      </c>
      <c r="Q4" s="7" t="b">
        <v>1</v>
      </c>
      <c r="R4" s="4" t="s">
        <v>39</v>
      </c>
    </row>
    <row r="5" spans="1:18" ht="15" customHeight="1">
      <c r="A5" s="8">
        <v>4</v>
      </c>
      <c r="B5" s="9" t="s">
        <v>40</v>
      </c>
      <c r="C5" s="9" t="s">
        <v>41</v>
      </c>
      <c r="D5" s="10" t="s">
        <v>42</v>
      </c>
      <c r="E5" s="10" t="s">
        <v>43</v>
      </c>
      <c r="F5" s="10" t="s">
        <v>44</v>
      </c>
      <c r="G5" s="11">
        <v>450</v>
      </c>
      <c r="H5" s="10" t="s">
        <v>23</v>
      </c>
      <c r="I5" s="10" t="s">
        <v>45</v>
      </c>
      <c r="J5" s="8">
        <v>2</v>
      </c>
      <c r="K5" s="10" t="s">
        <v>25</v>
      </c>
      <c r="L5" s="12">
        <f t="shared" si="0"/>
        <v>900</v>
      </c>
      <c r="M5" s="12">
        <f>IFERROR(INDEX(Cards!$F$2:$F$7,MATCH(D5,Cards!$A$2:$A$7,0)),Settings!$B$2)</f>
        <v>0.01</v>
      </c>
      <c r="N5" s="12">
        <f t="shared" si="1"/>
        <v>9</v>
      </c>
      <c r="O5" s="9" t="str">
        <f>IFERROR(IF(INDEX(Cards!$G$2:$G$7,MATCH(D5,Cards!$A$2:$A$7,0))&gt;0,EDATE(B5,INDEX(Cards!$G$2:$G$7,MATCH(D5,Cards!$A$2:$A$7,0))),""),"")</f>
        <v/>
      </c>
      <c r="P5" s="10" t="str">
        <f t="shared" si="2"/>
        <v>2024-11</v>
      </c>
      <c r="Q5" s="13" t="b">
        <v>1</v>
      </c>
      <c r="R5" s="10" t="s">
        <v>47</v>
      </c>
    </row>
    <row r="6" spans="1:18" ht="15" customHeight="1">
      <c r="A6" s="2">
        <v>5</v>
      </c>
      <c r="B6" s="3" t="s">
        <v>48</v>
      </c>
      <c r="C6" s="3" t="s">
        <v>41</v>
      </c>
      <c r="D6" s="4" t="s">
        <v>49</v>
      </c>
      <c r="E6" s="4" t="s">
        <v>50</v>
      </c>
      <c r="F6" s="4" t="s">
        <v>51</v>
      </c>
      <c r="G6" s="5">
        <v>52.3</v>
      </c>
      <c r="H6" s="4" t="s">
        <v>23</v>
      </c>
      <c r="I6" s="4" t="s">
        <v>38</v>
      </c>
      <c r="J6" s="2">
        <v>5</v>
      </c>
      <c r="K6" s="4" t="s">
        <v>32</v>
      </c>
      <c r="L6" s="6">
        <f t="shared" si="0"/>
        <v>2.62</v>
      </c>
      <c r="M6" s="6">
        <f>IFERROR(INDEX(Cards!$F$2:$F$7,MATCH(D6,Cards!$A$2:$A$7,0)),Settings!$B$2)</f>
        <v>0.01</v>
      </c>
      <c r="N6" s="6">
        <f t="shared" si="1"/>
        <v>2.62</v>
      </c>
      <c r="O6" s="3" t="str">
        <f>IFERROR(IF(INDEX(Cards!$G$2:$G$7,MATCH(D6,Cards!$A$2:$A$7,0))&gt;0,EDATE(B6,INDEX(Cards!$G$2:$G$7,MATCH(D6,Cards!$A$2:$A$7,0))),""),"")</f>
        <v/>
      </c>
      <c r="P6" s="4" t="str">
        <f t="shared" si="2"/>
        <v>2024-11</v>
      </c>
      <c r="Q6" s="7" t="b">
        <v>0</v>
      </c>
      <c r="R6" s="4" t="s">
        <v>52</v>
      </c>
    </row>
    <row r="7" spans="1:18" ht="15" customHeight="1">
      <c r="A7" s="8">
        <v>6</v>
      </c>
      <c r="B7" s="9" t="s">
        <v>53</v>
      </c>
      <c r="C7" s="9" t="s">
        <v>41</v>
      </c>
      <c r="D7" s="10" t="s">
        <v>54</v>
      </c>
      <c r="E7" s="10" t="s">
        <v>55</v>
      </c>
      <c r="F7" s="10" t="s">
        <v>56</v>
      </c>
      <c r="G7" s="11">
        <v>34.75</v>
      </c>
      <c r="H7" s="10" t="s">
        <v>23</v>
      </c>
      <c r="I7" s="10" t="s">
        <v>24</v>
      </c>
      <c r="J7" s="8">
        <v>3</v>
      </c>
      <c r="K7" s="10" t="s">
        <v>32</v>
      </c>
      <c r="L7" s="12">
        <f t="shared" si="0"/>
        <v>104.25</v>
      </c>
      <c r="M7" s="12">
        <f>IFERROR(INDEX(Cards!$F$2:$F$7,MATCH(D7,Cards!$A$2:$A$7,0)),Settings!$B$2)</f>
        <v>0.01</v>
      </c>
      <c r="N7" s="12">
        <f t="shared" si="1"/>
        <v>1.04</v>
      </c>
      <c r="O7" s="9" t="str">
        <f>IFERROR(IF(INDEX(Cards!$G$2:$G$7,MATCH(D7,Cards!$A$2:$A$7,0))&gt;0,EDATE(B7,INDEX(Cards!$G$2:$G$7,MATCH(D7,Cards!$A$2:$A$7,0))),""),"")</f>
        <v/>
      </c>
      <c r="P7" s="10" t="str">
        <f t="shared" si="2"/>
        <v>2024-11</v>
      </c>
      <c r="Q7" s="13" t="b">
        <v>0</v>
      </c>
      <c r="R7" s="10" t="s">
        <v>57</v>
      </c>
    </row>
    <row r="8" spans="1:18" ht="15" customHeight="1">
      <c r="A8" s="2">
        <v>7</v>
      </c>
      <c r="B8" s="3" t="s">
        <v>58</v>
      </c>
      <c r="C8" s="3" t="s">
        <v>41</v>
      </c>
      <c r="D8" s="4" t="s">
        <v>20</v>
      </c>
      <c r="E8" s="4" t="s">
        <v>59</v>
      </c>
      <c r="F8" s="4" t="s">
        <v>60</v>
      </c>
      <c r="G8" s="5">
        <v>289</v>
      </c>
      <c r="H8" s="4" t="s">
        <v>23</v>
      </c>
      <c r="I8" s="4" t="s">
        <v>24</v>
      </c>
      <c r="J8" s="2">
        <v>2</v>
      </c>
      <c r="K8" s="4" t="s">
        <v>25</v>
      </c>
      <c r="L8" s="6">
        <f t="shared" si="0"/>
        <v>578</v>
      </c>
      <c r="M8" s="6">
        <f>IFERROR(INDEX(Cards!$F$2:$F$7,MATCH(D8,Cards!$A$2:$A$7,0)),Settings!$B$2)</f>
        <v>1.2500000000000001E-2</v>
      </c>
      <c r="N8" s="6">
        <f t="shared" si="1"/>
        <v>7.23</v>
      </c>
      <c r="O8" s="3" t="str">
        <f>IFERROR(IF(INDEX(Cards!$G$2:$G$7,MATCH(D8,Cards!$A$2:$A$7,0))&gt;0,EDATE(B8,INDEX(Cards!$G$2:$G$7,MATCH(D8,Cards!$A$2:$A$7,0))),""),"")</f>
        <v/>
      </c>
      <c r="P8" s="4" t="str">
        <f t="shared" si="2"/>
        <v>2024-11</v>
      </c>
      <c r="Q8" s="7" t="b">
        <v>0</v>
      </c>
      <c r="R8" s="4" t="s">
        <v>61</v>
      </c>
    </row>
    <row r="9" spans="1:18" ht="15" customHeight="1">
      <c r="A9" s="8">
        <v>8</v>
      </c>
      <c r="B9" s="9" t="s">
        <v>62</v>
      </c>
      <c r="C9" s="9" t="s">
        <v>41</v>
      </c>
      <c r="D9" s="10" t="s">
        <v>29</v>
      </c>
      <c r="E9" s="10" t="s">
        <v>63</v>
      </c>
      <c r="F9" s="10" t="s">
        <v>22</v>
      </c>
      <c r="G9" s="14">
        <v>-45.2</v>
      </c>
      <c r="H9" s="10" t="s">
        <v>23</v>
      </c>
      <c r="I9" s="10" t="s">
        <v>24</v>
      </c>
      <c r="J9" s="8">
        <v>4</v>
      </c>
      <c r="K9" s="10" t="s">
        <v>32</v>
      </c>
      <c r="L9" s="12">
        <f t="shared" si="0"/>
        <v>-180.8</v>
      </c>
      <c r="M9" s="12">
        <f>IFERROR(INDEX(Cards!$F$2:$F$7,MATCH(D9,Cards!$A$2:$A$7,0)),Settings!$B$2)</f>
        <v>0.02</v>
      </c>
      <c r="N9" s="12">
        <f t="shared" si="1"/>
        <v>-3.62</v>
      </c>
      <c r="O9" s="9" t="str">
        <f>IFERROR(IF(INDEX(Cards!$G$2:$G$7,MATCH(D9,Cards!$A$2:$A$7,0))&gt;0,EDATE(B9,INDEX(Cards!$G$2:$G$7,MATCH(D9,Cards!$A$2:$A$7,0))),""),"")</f>
        <v/>
      </c>
      <c r="P9" s="10" t="str">
        <f t="shared" si="2"/>
        <v>2024-11</v>
      </c>
      <c r="Q9" s="13" t="b">
        <v>0</v>
      </c>
      <c r="R9" s="10" t="s">
        <v>64</v>
      </c>
    </row>
    <row r="10" spans="1:18" ht="15" customHeight="1">
      <c r="A10" s="2">
        <v>9</v>
      </c>
      <c r="B10" s="3" t="s">
        <v>41</v>
      </c>
      <c r="C10" s="3" t="s">
        <v>65</v>
      </c>
      <c r="D10" s="4" t="s">
        <v>42</v>
      </c>
      <c r="E10" s="4" t="s">
        <v>66</v>
      </c>
      <c r="F10" s="4" t="s">
        <v>60</v>
      </c>
      <c r="G10" s="5">
        <v>375.5</v>
      </c>
      <c r="H10" s="4" t="s">
        <v>23</v>
      </c>
      <c r="I10" s="4" t="s">
        <v>45</v>
      </c>
      <c r="J10" s="2">
        <v>10</v>
      </c>
      <c r="K10" s="4" t="s">
        <v>32</v>
      </c>
      <c r="L10" s="6">
        <f t="shared" si="0"/>
        <v>3755</v>
      </c>
      <c r="M10" s="6">
        <f>IFERROR(INDEX(Cards!$F$2:$F$7,MATCH(D10,Cards!$A$2:$A$7,0)),Settings!$B$2)</f>
        <v>0.01</v>
      </c>
      <c r="N10" s="6">
        <f t="shared" si="1"/>
        <v>37.549999999999997</v>
      </c>
      <c r="O10" s="3" t="str">
        <f>IFERROR(IF(INDEX(Cards!$G$2:$G$7,MATCH(D10,Cards!$A$2:$A$7,0))&gt;0,EDATE(B10,INDEX(Cards!$G$2:$G$7,MATCH(D10,Cards!$A$2:$A$7,0))),""),"")</f>
        <v/>
      </c>
      <c r="P10" s="4" t="str">
        <f t="shared" si="2"/>
        <v>2024-12</v>
      </c>
      <c r="Q10" s="7" t="b">
        <v>0</v>
      </c>
      <c r="R10" s="4" t="s">
        <v>68</v>
      </c>
    </row>
    <row r="11" spans="1:18" ht="15" customHeight="1">
      <c r="A11" s="8">
        <v>10</v>
      </c>
      <c r="B11" s="9" t="s">
        <v>69</v>
      </c>
      <c r="C11" s="9" t="s">
        <v>65</v>
      </c>
      <c r="D11" s="10" t="s">
        <v>35</v>
      </c>
      <c r="E11" s="10" t="s">
        <v>70</v>
      </c>
      <c r="F11" s="10" t="s">
        <v>71</v>
      </c>
      <c r="G11" s="11">
        <v>156.88999999999999</v>
      </c>
      <c r="H11" s="10" t="s">
        <v>23</v>
      </c>
      <c r="I11" s="10" t="s">
        <v>38</v>
      </c>
      <c r="J11" s="8">
        <v>2</v>
      </c>
      <c r="K11" s="10" t="s">
        <v>25</v>
      </c>
      <c r="L11" s="12">
        <f t="shared" si="0"/>
        <v>3.14</v>
      </c>
      <c r="M11" s="12">
        <f>IFERROR(INDEX(Cards!$F$2:$F$7,MATCH(D11,Cards!$A$2:$A$7,0)),Settings!$B$2)</f>
        <v>0.01</v>
      </c>
      <c r="N11" s="12">
        <f t="shared" si="1"/>
        <v>3.14</v>
      </c>
      <c r="O11" s="9" t="str">
        <f>IFERROR(IF(INDEX(Cards!$G$2:$G$7,MATCH(D11,Cards!$A$2:$A$7,0))&gt;0,EDATE(B11,INDEX(Cards!$G$2:$G$7,MATCH(D11,Cards!$A$2:$A$7,0))),""),"")</f>
        <v/>
      </c>
      <c r="P11" s="10" t="str">
        <f t="shared" si="2"/>
        <v>2024-12</v>
      </c>
      <c r="Q11" s="13" t="b">
        <v>0</v>
      </c>
      <c r="R11" s="10" t="s">
        <v>72</v>
      </c>
    </row>
  </sheetData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/>
  </sheetViews>
  <sheetFormatPr defaultColWidth="8.85546875" defaultRowHeight="15" customHeight="1"/>
  <cols>
    <col min="1" max="1" width="22.5703125" customWidth="1"/>
    <col min="2" max="2" width="15.42578125" customWidth="1"/>
    <col min="3" max="3" width="17.5703125" customWidth="1"/>
    <col min="4" max="4" width="9.5703125" customWidth="1"/>
    <col min="5" max="5" width="22.85546875" customWidth="1"/>
    <col min="6" max="6" width="15.7109375" customWidth="1"/>
    <col min="7" max="7" width="20.85546875" customWidth="1"/>
    <col min="8" max="8" width="11.140625" customWidth="1"/>
    <col min="9" max="9" width="15.42578125" customWidth="1"/>
    <col min="10" max="10" width="39.140625" customWidth="1"/>
  </cols>
  <sheetData>
    <row r="1" spans="1:10" ht="15" customHeight="1">
      <c r="A1" s="15" t="s">
        <v>3</v>
      </c>
      <c r="B1" s="15" t="s">
        <v>73</v>
      </c>
      <c r="C1" s="15" t="s">
        <v>74</v>
      </c>
      <c r="D1" s="15" t="s">
        <v>75</v>
      </c>
      <c r="E1" s="15" t="s">
        <v>76</v>
      </c>
      <c r="F1" s="15" t="s">
        <v>77</v>
      </c>
      <c r="G1" s="15" t="s">
        <v>78</v>
      </c>
      <c r="H1" s="15" t="s">
        <v>79</v>
      </c>
      <c r="I1" s="15" t="s">
        <v>80</v>
      </c>
      <c r="J1" s="15" t="s">
        <v>17</v>
      </c>
    </row>
    <row r="2" spans="1:10" ht="15" customHeight="1">
      <c r="A2" s="16" t="s">
        <v>20</v>
      </c>
      <c r="B2" s="16" t="s">
        <v>81</v>
      </c>
      <c r="C2" s="16" t="s">
        <v>24</v>
      </c>
      <c r="D2" s="16">
        <v>2</v>
      </c>
      <c r="E2" s="16" t="s">
        <v>82</v>
      </c>
      <c r="F2" s="16">
        <v>1.2500000000000001E-2</v>
      </c>
      <c r="G2" s="16">
        <v>0</v>
      </c>
      <c r="H2" s="16">
        <v>95</v>
      </c>
      <c r="I2" s="16">
        <v>60000</v>
      </c>
      <c r="J2" s="16" t="s">
        <v>83</v>
      </c>
    </row>
    <row r="3" spans="1:10" ht="15" customHeight="1">
      <c r="A3" s="17" t="s">
        <v>29</v>
      </c>
      <c r="B3" s="17" t="s">
        <v>84</v>
      </c>
      <c r="C3" s="17" t="s">
        <v>24</v>
      </c>
      <c r="D3" s="17">
        <v>1</v>
      </c>
      <c r="E3" s="17" t="s">
        <v>85</v>
      </c>
      <c r="F3" s="17">
        <v>0.02</v>
      </c>
      <c r="G3" s="17">
        <v>0</v>
      </c>
      <c r="H3" s="17">
        <v>250</v>
      </c>
      <c r="I3" s="17">
        <v>60000</v>
      </c>
      <c r="J3" s="17" t="s">
        <v>86</v>
      </c>
    </row>
    <row r="4" spans="1:10" ht="15" customHeight="1">
      <c r="A4" s="16" t="s">
        <v>35</v>
      </c>
      <c r="B4" s="16" t="s">
        <v>87</v>
      </c>
      <c r="C4" s="16" t="s">
        <v>38</v>
      </c>
      <c r="D4" s="16">
        <v>2</v>
      </c>
      <c r="E4" s="16" t="s">
        <v>88</v>
      </c>
      <c r="F4" s="16">
        <v>0.01</v>
      </c>
      <c r="G4" s="16">
        <v>0</v>
      </c>
      <c r="H4" s="16">
        <v>0</v>
      </c>
      <c r="I4" s="16">
        <v>0</v>
      </c>
      <c r="J4" s="16" t="s">
        <v>89</v>
      </c>
    </row>
    <row r="5" spans="1:10" ht="15" customHeight="1">
      <c r="A5" s="17" t="s">
        <v>42</v>
      </c>
      <c r="B5" s="17" t="s">
        <v>90</v>
      </c>
      <c r="C5" s="17" t="s">
        <v>45</v>
      </c>
      <c r="D5" s="17">
        <v>2</v>
      </c>
      <c r="E5" s="17" t="s">
        <v>91</v>
      </c>
      <c r="F5" s="17">
        <v>0.01</v>
      </c>
      <c r="G5" s="17">
        <v>0</v>
      </c>
      <c r="H5" s="17">
        <v>395</v>
      </c>
      <c r="I5" s="17">
        <v>75000</v>
      </c>
      <c r="J5" s="17" t="s">
        <v>92</v>
      </c>
    </row>
    <row r="6" spans="1:10" ht="15" customHeight="1">
      <c r="A6" s="16" t="s">
        <v>49</v>
      </c>
      <c r="B6" s="16" t="s">
        <v>93</v>
      </c>
      <c r="C6" s="16" t="s">
        <v>38</v>
      </c>
      <c r="D6" s="16">
        <v>1</v>
      </c>
      <c r="E6" s="16" t="s">
        <v>94</v>
      </c>
      <c r="F6" s="16">
        <v>0.01</v>
      </c>
      <c r="G6" s="16">
        <v>0</v>
      </c>
      <c r="H6" s="16">
        <v>0</v>
      </c>
      <c r="I6" s="16">
        <v>0</v>
      </c>
      <c r="J6" s="16" t="s">
        <v>95</v>
      </c>
    </row>
    <row r="7" spans="1:10" ht="15" customHeight="1">
      <c r="A7" s="17" t="s">
        <v>54</v>
      </c>
      <c r="B7" s="17" t="s">
        <v>81</v>
      </c>
      <c r="C7" s="17" t="s">
        <v>24</v>
      </c>
      <c r="D7" s="17">
        <v>1.5</v>
      </c>
      <c r="E7" s="17" t="s">
        <v>96</v>
      </c>
      <c r="F7" s="17">
        <v>0.01</v>
      </c>
      <c r="G7" s="17">
        <v>0</v>
      </c>
      <c r="H7" s="17">
        <v>0</v>
      </c>
      <c r="I7" s="17">
        <v>0</v>
      </c>
      <c r="J7" s="17" t="s">
        <v>97</v>
      </c>
    </row>
  </sheetData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E1" workbookViewId="0">
      <selection activeCell="H2" sqref="H2"/>
    </sheetView>
  </sheetViews>
  <sheetFormatPr defaultColWidth="8.85546875" defaultRowHeight="15" customHeight="1"/>
  <cols>
    <col min="1" max="1" width="15" customWidth="1"/>
    <col min="2" max="2" width="10.28515625" customWidth="1"/>
    <col min="3" max="3" width="22" customWidth="1"/>
    <col min="4" max="4" width="13" customWidth="1"/>
    <col min="5" max="5" width="15.85546875" customWidth="1"/>
    <col min="6" max="6" width="20.7109375" customWidth="1"/>
    <col min="7" max="7" width="20" customWidth="1"/>
    <col min="8" max="8" width="16.42578125" customWidth="1"/>
    <col min="9" max="9" width="23.140625" customWidth="1"/>
  </cols>
  <sheetData>
    <row r="1" spans="1:9" ht="15" customHeight="1">
      <c r="A1" s="15" t="s">
        <v>98</v>
      </c>
      <c r="B1" s="15" t="s">
        <v>99</v>
      </c>
      <c r="C1" s="15" t="s">
        <v>3</v>
      </c>
      <c r="D1" s="15" t="s">
        <v>8</v>
      </c>
      <c r="E1" s="15" t="s">
        <v>100</v>
      </c>
      <c r="F1" s="15" t="s">
        <v>101</v>
      </c>
      <c r="G1" s="15" t="s">
        <v>102</v>
      </c>
      <c r="H1" s="15" t="s">
        <v>103</v>
      </c>
      <c r="I1" s="15" t="s">
        <v>17</v>
      </c>
    </row>
    <row r="2" spans="1:9" ht="15" customHeight="1">
      <c r="A2" s="18">
        <v>1</v>
      </c>
      <c r="B2" s="19" t="s">
        <v>53</v>
      </c>
      <c r="C2" s="20" t="s">
        <v>20</v>
      </c>
      <c r="D2" s="20" t="s">
        <v>24</v>
      </c>
      <c r="E2" s="21">
        <v>500</v>
      </c>
      <c r="F2" s="21">
        <v>6.25</v>
      </c>
      <c r="G2" s="20" t="s">
        <v>104</v>
      </c>
      <c r="H2" s="21">
        <f>SUMIFS(Transactions!$L$2:$L$11,Transactions!$D$2:$D$11,C2)-SUMIFS($E$2:$E$100,$C$2:$C$100,C2)</f>
        <v>329</v>
      </c>
      <c r="I2" s="20" t="s">
        <v>105</v>
      </c>
    </row>
    <row r="3" spans="1:9" ht="15" customHeight="1">
      <c r="A3" s="22">
        <v>2</v>
      </c>
      <c r="B3" s="23" t="s">
        <v>58</v>
      </c>
      <c r="C3" s="24" t="s">
        <v>35</v>
      </c>
      <c r="D3" s="24" t="s">
        <v>38</v>
      </c>
      <c r="E3" s="25">
        <v>25</v>
      </c>
      <c r="F3" s="25">
        <v>25</v>
      </c>
      <c r="G3" s="24" t="s">
        <v>106</v>
      </c>
      <c r="H3" s="25">
        <f>SUMIFS(Transactions!$L$2:$L$11,Transactions!$D$2:$D$11,C3)-SUMIFS($E$2:$E$100,$C$2:$C$100,C3)</f>
        <v>-16.939999999999998</v>
      </c>
      <c r="I3" s="24" t="s">
        <v>107</v>
      </c>
    </row>
    <row r="4" spans="1:9" ht="15" customHeight="1">
      <c r="A4" s="18">
        <v>3</v>
      </c>
      <c r="B4" s="19" t="s">
        <v>41</v>
      </c>
      <c r="C4" s="20" t="s">
        <v>42</v>
      </c>
      <c r="D4" s="20" t="s">
        <v>45</v>
      </c>
      <c r="E4" s="21">
        <v>1000</v>
      </c>
      <c r="F4" s="21">
        <v>10</v>
      </c>
      <c r="G4" s="20" t="s">
        <v>108</v>
      </c>
      <c r="H4" s="21">
        <f>SUMIFS(Transactions!$L$2:$L$11,Transactions!$D$2:$D$11,C4)-SUMIFS($E$2:$E$100,$C$2:$C$100,C4)</f>
        <v>3655</v>
      </c>
      <c r="I4" s="20" t="s">
        <v>109</v>
      </c>
    </row>
    <row r="5" spans="1:9" ht="15" customHeight="1">
      <c r="A5" s="22">
        <v>4</v>
      </c>
      <c r="B5" s="23" t="s">
        <v>110</v>
      </c>
      <c r="C5" s="24" t="s">
        <v>29</v>
      </c>
      <c r="D5" s="24" t="s">
        <v>24</v>
      </c>
      <c r="E5" s="25">
        <v>200</v>
      </c>
      <c r="F5" s="25">
        <v>4</v>
      </c>
      <c r="G5" s="24" t="s">
        <v>111</v>
      </c>
      <c r="H5" s="25">
        <f>SUMIFS(Transactions!$L$2:$L$11,Transactions!$D$2:$D$11,C5)-SUMIFS($E$2:$E$100,$C$2:$C$100,C5)</f>
        <v>-31.800000000000011</v>
      </c>
      <c r="I5" s="24" t="s">
        <v>112</v>
      </c>
    </row>
  </sheetData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A5" sqref="A5"/>
    </sheetView>
  </sheetViews>
  <sheetFormatPr defaultColWidth="8.85546875" defaultRowHeight="15" customHeight="1"/>
  <cols>
    <col min="1" max="1" width="22.5703125" customWidth="1"/>
    <col min="2" max="2" width="17.5703125" customWidth="1"/>
    <col min="4" max="4" width="16.7109375" customWidth="1"/>
    <col min="5" max="5" width="13" customWidth="1"/>
  </cols>
  <sheetData>
    <row r="1" spans="1:7" ht="15" customHeight="1">
      <c r="A1" s="26" t="s">
        <v>113</v>
      </c>
    </row>
    <row r="3" spans="1:7" ht="15" customHeight="1">
      <c r="A3" s="27" t="s">
        <v>114</v>
      </c>
    </row>
    <row r="4" spans="1:7" ht="18.75" customHeight="1">
      <c r="A4" s="28" t="s">
        <v>115</v>
      </c>
      <c r="C4" s="28" t="s">
        <v>116</v>
      </c>
      <c r="E4" s="28" t="s">
        <v>117</v>
      </c>
      <c r="G4" s="28" t="s">
        <v>118</v>
      </c>
    </row>
    <row r="5" spans="1:7" ht="15" customHeight="1">
      <c r="A5" s="29">
        <f>SUM(Transactions!N2:N11)</f>
        <v>72</v>
      </c>
      <c r="C5" s="29">
        <f>AVERAGE(Transactions!J2:J11)</f>
        <v>3.6</v>
      </c>
      <c r="E5" s="29" t="str">
        <f>INDEX(Transactions!D2:D11,MATCH(MAX(Transactions!N2:N11),Transactions!N2:N11,0))</f>
        <v>Capital One Venture X</v>
      </c>
      <c r="G5" s="29">
        <f>SUM(Transactions!N2:N11)*12/MONTH(MAX(Transactions!B2:B11))</f>
        <v>864</v>
      </c>
    </row>
    <row r="8" spans="1:7" ht="15" customHeight="1">
      <c r="A8" s="30" t="s">
        <v>119</v>
      </c>
      <c r="B8" s="30" t="s">
        <v>13</v>
      </c>
    </row>
    <row r="9" spans="1:7" ht="15" customHeight="1">
      <c r="A9" s="10" t="s">
        <v>26</v>
      </c>
      <c r="B9" s="11">
        <f>SUMIFS(Transactions!$N$2:$N$11,Transactions!$P$2:$P$11,"2024-10")</f>
        <v>15.040000000000001</v>
      </c>
    </row>
    <row r="10" spans="1:7" ht="15" customHeight="1">
      <c r="A10" s="10" t="s">
        <v>46</v>
      </c>
      <c r="B10" s="11">
        <f>SUMIFS(Transactions!$N$2:$N$11,Transactions!$P$2:$P$11,"2024-11")</f>
        <v>16.27</v>
      </c>
    </row>
    <row r="11" spans="1:7" ht="15" customHeight="1">
      <c r="A11" s="10" t="s">
        <v>67</v>
      </c>
      <c r="B11" s="11">
        <f>SUMIFS(Transactions!$N$2:$N$11,Transactions!$P$2:$P$11,"2024-12")</f>
        <v>40.69</v>
      </c>
    </row>
    <row r="14" spans="1:7" ht="15" customHeight="1">
      <c r="A14" s="30" t="s">
        <v>3</v>
      </c>
      <c r="B14" s="30" t="s">
        <v>120</v>
      </c>
      <c r="D14" s="30" t="s">
        <v>5</v>
      </c>
      <c r="E14" s="30" t="s">
        <v>120</v>
      </c>
    </row>
    <row r="15" spans="1:7" ht="15" customHeight="1">
      <c r="A15" t="s">
        <v>20</v>
      </c>
      <c r="B15" s="11">
        <f>SUMIFS(Transactions!$N$2:$N$11,Transactions!$D$2:$D$11,A15)</f>
        <v>10.370000000000001</v>
      </c>
      <c r="D15" t="s">
        <v>22</v>
      </c>
      <c r="E15" s="11">
        <f>SUMIFS(Transactions!$N$2:$N$11,Transactions!$F$2:$F$11,D15)</f>
        <v>-0.48</v>
      </c>
    </row>
    <row r="16" spans="1:7" ht="15" customHeight="1">
      <c r="A16" t="s">
        <v>29</v>
      </c>
      <c r="B16" s="11">
        <f>SUMIFS(Transactions!$N$2:$N$11,Transactions!$D$2:$D$11,A16)</f>
        <v>3.3600000000000003</v>
      </c>
      <c r="D16" t="s">
        <v>31</v>
      </c>
      <c r="E16" s="11">
        <f>SUMIFS(Transactions!$N$2:$N$11,Transactions!$F$2:$F$11,D16)</f>
        <v>6.98</v>
      </c>
    </row>
    <row r="17" spans="1:5" ht="15" customHeight="1">
      <c r="A17" t="s">
        <v>35</v>
      </c>
      <c r="B17" s="11">
        <f>SUMIFS(Transactions!$N$2:$N$11,Transactions!$D$2:$D$11,A17)</f>
        <v>8.06</v>
      </c>
      <c r="D17" t="s">
        <v>37</v>
      </c>
      <c r="E17" s="11">
        <f>SUMIFS(Transactions!$N$2:$N$11,Transactions!$F$2:$F$11,D17)</f>
        <v>4.92</v>
      </c>
    </row>
    <row r="18" spans="1:5" ht="15" customHeight="1">
      <c r="A18" t="s">
        <v>42</v>
      </c>
      <c r="B18" s="11">
        <f>SUMIFS(Transactions!$N$2:$N$11,Transactions!$D$2:$D$11,A18)</f>
        <v>46.55</v>
      </c>
      <c r="D18" t="s">
        <v>44</v>
      </c>
      <c r="E18" s="11">
        <f>SUMIFS(Transactions!$N$2:$N$11,Transactions!$F$2:$F$11,D18)</f>
        <v>9</v>
      </c>
    </row>
    <row r="19" spans="1:5" ht="15" customHeight="1">
      <c r="A19" t="s">
        <v>49</v>
      </c>
      <c r="B19" s="11">
        <f>SUMIFS(Transactions!$N$2:$N$11,Transactions!$D$2:$D$11,A19)</f>
        <v>2.62</v>
      </c>
      <c r="D19" t="s">
        <v>51</v>
      </c>
      <c r="E19" s="11">
        <f>SUMIFS(Transactions!$N$2:$N$11,Transactions!$F$2:$F$11,D19)</f>
        <v>2.62</v>
      </c>
    </row>
    <row r="20" spans="1:5" ht="15" customHeight="1">
      <c r="A20" t="s">
        <v>54</v>
      </c>
      <c r="B20" s="11">
        <f>SUMIFS(Transactions!$N$2:$N$11,Transactions!$D$2:$D$11,A20)</f>
        <v>1.04</v>
      </c>
      <c r="D20" t="s">
        <v>56</v>
      </c>
      <c r="E20" s="11">
        <f>SUMIFS(Transactions!$N$2:$N$11,Transactions!$F$2:$F$11,D20)</f>
        <v>1.04</v>
      </c>
    </row>
    <row r="21" spans="1:5" ht="15" customHeight="1">
      <c r="D21" t="s">
        <v>60</v>
      </c>
      <c r="E21" s="11">
        <f>SUMIFS(Transactions!$N$2:$N$11,Transactions!$F$2:$F$11,D21)</f>
        <v>44.78</v>
      </c>
    </row>
    <row r="22" spans="1:5" ht="15" customHeight="1">
      <c r="D22" t="s">
        <v>71</v>
      </c>
      <c r="E22" s="11">
        <f>SUMIFS(Transactions!$N$2:$N$11,Transactions!$F$2:$F$11,D22)</f>
        <v>3.14</v>
      </c>
    </row>
  </sheetData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A5" sqref="A5"/>
    </sheetView>
  </sheetViews>
  <sheetFormatPr defaultColWidth="8.85546875" defaultRowHeight="15" customHeight="1"/>
  <cols>
    <col min="1" max="1" width="23.42578125" customWidth="1"/>
    <col min="2" max="2" width="22.5703125" customWidth="1"/>
    <col min="3" max="3" width="16.7109375" customWidth="1"/>
    <col min="4" max="4" width="13.85546875" customWidth="1"/>
    <col min="5" max="5" width="11.85546875" customWidth="1"/>
    <col min="6" max="6" width="17" customWidth="1"/>
    <col min="7" max="7" width="6.5703125" customWidth="1"/>
  </cols>
  <sheetData>
    <row r="1" spans="1:7" ht="15" customHeight="1">
      <c r="A1" s="31" t="s">
        <v>121</v>
      </c>
    </row>
    <row r="2" spans="1:7" ht="15" customHeight="1">
      <c r="A2" t="s">
        <v>122</v>
      </c>
      <c r="B2" s="32">
        <f ca="1">TODAY()</f>
        <v>46025</v>
      </c>
    </row>
    <row r="3" spans="1:7" ht="15.75" customHeight="1"/>
    <row r="4" spans="1:7" ht="15" customHeight="1">
      <c r="A4" s="33" t="s">
        <v>123</v>
      </c>
      <c r="B4" s="33" t="s">
        <v>3</v>
      </c>
      <c r="C4" s="33" t="s">
        <v>1</v>
      </c>
      <c r="D4" s="33" t="s">
        <v>124</v>
      </c>
      <c r="E4" s="33" t="s">
        <v>125</v>
      </c>
      <c r="F4" s="33" t="s">
        <v>126</v>
      </c>
      <c r="G4" s="33" t="s">
        <v>127</v>
      </c>
    </row>
    <row r="5" spans="1:7" ht="15" customHeight="1">
      <c r="A5" s="16">
        <f>IFERROR(INDEX(Transactions!$A$2:$A$11,ROW()-4),"")</f>
        <v>1</v>
      </c>
      <c r="B5" s="16" t="str">
        <f>IFERROR(INDEX(Transactions!$D$2:$D$11,ROW()-4),"")</f>
        <v>Chase Sapphire Preferred</v>
      </c>
      <c r="C5" s="34" t="str">
        <f>IFERROR(INDEX(Transactions!$B$2:$B$11,ROW()-4),"")</f>
        <v>2024-10-15</v>
      </c>
      <c r="D5" s="22">
        <f>IFERROR(INDEX(Transactions!$L$2:$L$11,ROW()-4),"")</f>
        <v>251</v>
      </c>
      <c r="E5" s="34" t="str">
        <f>IFERROR(INDEX(Transactions!$O$2:$O$11,ROW()-4),"")</f>
        <v/>
      </c>
      <c r="F5" s="22" t="str">
        <f t="shared" ref="F5:F14" si="0">IF(E5="","",E5-$B$2)</f>
        <v/>
      </c>
      <c r="G5" s="16" t="str">
        <f t="shared" ref="G5:G14" si="1">IF(E5="","N/A",IF(F5&lt;0,"EXPIRED",IF(F5&lt;30,"URGENT",IF(F5&lt;90,"WARNING","OK"))))</f>
        <v>N/A</v>
      </c>
    </row>
    <row r="6" spans="1:7" ht="15" customHeight="1">
      <c r="A6" s="16">
        <f>IFERROR(INDEX(Transactions!$A$2:$A$11,ROW()-4),"")</f>
        <v>2</v>
      </c>
      <c r="B6" s="16" t="str">
        <f>IFERROR(INDEX(Transactions!$D$2:$D$11,ROW()-4),"")</f>
        <v>Amex Gold Card</v>
      </c>
      <c r="C6" s="34" t="str">
        <f>IFERROR(INDEX(Transactions!$B$2:$B$11,ROW()-4),"")</f>
        <v>2024-10-18</v>
      </c>
      <c r="D6" s="22">
        <f>IFERROR(INDEX(Transactions!$L$2:$L$11,ROW()-4),"")</f>
        <v>349</v>
      </c>
      <c r="E6" s="34" t="str">
        <f>IFERROR(INDEX(Transactions!$O$2:$O$11,ROW()-4),"")</f>
        <v/>
      </c>
      <c r="F6" s="22" t="str">
        <f t="shared" si="0"/>
        <v/>
      </c>
      <c r="G6" s="16" t="str">
        <f t="shared" si="1"/>
        <v>N/A</v>
      </c>
    </row>
    <row r="7" spans="1:7" ht="15" customHeight="1">
      <c r="A7" s="16">
        <f>IFERROR(INDEX(Transactions!$A$2:$A$11,ROW()-4),"")</f>
        <v>3</v>
      </c>
      <c r="B7" s="16" t="str">
        <f>IFERROR(INDEX(Transactions!$D$2:$D$11,ROW()-4),"")</f>
        <v>Citi Double Cash</v>
      </c>
      <c r="C7" s="34" t="str">
        <f>IFERROR(INDEX(Transactions!$B$2:$B$11,ROW()-4),"")</f>
        <v>2024-10-22</v>
      </c>
      <c r="D7" s="22">
        <f>IFERROR(INDEX(Transactions!$L$2:$L$11,ROW()-4),"")</f>
        <v>4.92</v>
      </c>
      <c r="E7" s="34" t="str">
        <f>IFERROR(INDEX(Transactions!$O$2:$O$11,ROW()-4),"")</f>
        <v/>
      </c>
      <c r="F7" s="22" t="str">
        <f t="shared" si="0"/>
        <v/>
      </c>
      <c r="G7" s="16" t="str">
        <f t="shared" si="1"/>
        <v>N/A</v>
      </c>
    </row>
    <row r="8" spans="1:7" ht="15" customHeight="1">
      <c r="A8" s="16">
        <f>IFERROR(INDEX(Transactions!$A$2:$A$11,ROW()-4),"")</f>
        <v>4</v>
      </c>
      <c r="B8" s="16" t="str">
        <f>IFERROR(INDEX(Transactions!$D$2:$D$11,ROW()-4),"")</f>
        <v>Capital One Venture X</v>
      </c>
      <c r="C8" s="34" t="str">
        <f>IFERROR(INDEX(Transactions!$B$2:$B$11,ROW()-4),"")</f>
        <v>2024-11-05</v>
      </c>
      <c r="D8" s="22">
        <f>IFERROR(INDEX(Transactions!$L$2:$L$11,ROW()-4),"")</f>
        <v>900</v>
      </c>
      <c r="E8" s="34" t="str">
        <f>IFERROR(INDEX(Transactions!$O$2:$O$11,ROW()-4),"")</f>
        <v/>
      </c>
      <c r="F8" s="22" t="str">
        <f t="shared" si="0"/>
        <v/>
      </c>
      <c r="G8" s="16" t="str">
        <f t="shared" si="1"/>
        <v>N/A</v>
      </c>
    </row>
    <row r="9" spans="1:7" ht="15" customHeight="1">
      <c r="A9" s="16">
        <f>IFERROR(INDEX(Transactions!$A$2:$A$11,ROW()-4),"")</f>
        <v>5</v>
      </c>
      <c r="B9" s="16" t="str">
        <f>IFERROR(INDEX(Transactions!$D$2:$D$11,ROW()-4),"")</f>
        <v>Discover it Cash Back</v>
      </c>
      <c r="C9" s="34" t="str">
        <f>IFERROR(INDEX(Transactions!$B$2:$B$11,ROW()-4),"")</f>
        <v>2024-11-10</v>
      </c>
      <c r="D9" s="22">
        <f>IFERROR(INDEX(Transactions!$L$2:$L$11,ROW()-4),"")</f>
        <v>2.62</v>
      </c>
      <c r="E9" s="34" t="str">
        <f>IFERROR(INDEX(Transactions!$O$2:$O$11,ROW()-4),"")</f>
        <v/>
      </c>
      <c r="F9" s="22" t="str">
        <f t="shared" si="0"/>
        <v/>
      </c>
      <c r="G9" s="16" t="str">
        <f t="shared" si="1"/>
        <v>N/A</v>
      </c>
    </row>
    <row r="10" spans="1:7" ht="15" customHeight="1">
      <c r="A10" s="16">
        <f>IFERROR(INDEX(Transactions!$A$2:$A$11,ROW()-4),"")</f>
        <v>6</v>
      </c>
      <c r="B10" s="16" t="str">
        <f>IFERROR(INDEX(Transactions!$D$2:$D$11,ROW()-4),"")</f>
        <v>Chase Freedom Unlimited</v>
      </c>
      <c r="C10" s="34" t="str">
        <f>IFERROR(INDEX(Transactions!$B$2:$B$11,ROW()-4),"")</f>
        <v>2024-11-15</v>
      </c>
      <c r="D10" s="22">
        <f>IFERROR(INDEX(Transactions!$L$2:$L$11,ROW()-4),"")</f>
        <v>104.25</v>
      </c>
      <c r="E10" s="34" t="str">
        <f>IFERROR(INDEX(Transactions!$O$2:$O$11,ROW()-4),"")</f>
        <v/>
      </c>
      <c r="F10" s="22" t="str">
        <f t="shared" si="0"/>
        <v/>
      </c>
      <c r="G10" s="16" t="str">
        <f t="shared" si="1"/>
        <v>N/A</v>
      </c>
    </row>
    <row r="11" spans="1:7" ht="15" customHeight="1">
      <c r="A11" s="16">
        <f>IFERROR(INDEX(Transactions!$A$2:$A$11,ROW()-4),"")</f>
        <v>7</v>
      </c>
      <c r="B11" s="16" t="str">
        <f>IFERROR(INDEX(Transactions!$D$2:$D$11,ROW()-4),"")</f>
        <v>Chase Sapphire Preferred</v>
      </c>
      <c r="C11" s="34" t="str">
        <f>IFERROR(INDEX(Transactions!$B$2:$B$11,ROW()-4),"")</f>
        <v>2024-11-20</v>
      </c>
      <c r="D11" s="22">
        <f>IFERROR(INDEX(Transactions!$L$2:$L$11,ROW()-4),"")</f>
        <v>578</v>
      </c>
      <c r="E11" s="34" t="str">
        <f>IFERROR(INDEX(Transactions!$O$2:$O$11,ROW()-4),"")</f>
        <v/>
      </c>
      <c r="F11" s="22" t="str">
        <f t="shared" si="0"/>
        <v/>
      </c>
      <c r="G11" s="16" t="str">
        <f t="shared" si="1"/>
        <v>N/A</v>
      </c>
    </row>
    <row r="12" spans="1:7" ht="15" customHeight="1">
      <c r="A12" s="16">
        <f>IFERROR(INDEX(Transactions!$A$2:$A$11,ROW()-4),"")</f>
        <v>8</v>
      </c>
      <c r="B12" s="16" t="str">
        <f>IFERROR(INDEX(Transactions!$D$2:$D$11,ROW()-4),"")</f>
        <v>Amex Gold Card</v>
      </c>
      <c r="C12" s="34" t="str">
        <f>IFERROR(INDEX(Transactions!$B$2:$B$11,ROW()-4),"")</f>
        <v>2024-11-25</v>
      </c>
      <c r="D12" s="22">
        <f>IFERROR(INDEX(Transactions!$L$2:$L$11,ROW()-4),"")</f>
        <v>-180.8</v>
      </c>
      <c r="E12" s="34" t="str">
        <f>IFERROR(INDEX(Transactions!$O$2:$O$11,ROW()-4),"")</f>
        <v/>
      </c>
      <c r="F12" s="22" t="str">
        <f t="shared" si="0"/>
        <v/>
      </c>
      <c r="G12" s="16" t="str">
        <f t="shared" si="1"/>
        <v>N/A</v>
      </c>
    </row>
    <row r="13" spans="1:7" ht="15" customHeight="1">
      <c r="A13" s="16">
        <f>IFERROR(INDEX(Transactions!$A$2:$A$11,ROW()-4),"")</f>
        <v>9</v>
      </c>
      <c r="B13" s="16" t="str">
        <f>IFERROR(INDEX(Transactions!$D$2:$D$11,ROW()-4),"")</f>
        <v>Capital One Venture X</v>
      </c>
      <c r="C13" s="34" t="str">
        <f>IFERROR(INDEX(Transactions!$B$2:$B$11,ROW()-4),"")</f>
        <v>2024-12-01</v>
      </c>
      <c r="D13" s="22">
        <f>IFERROR(INDEX(Transactions!$L$2:$L$11,ROW()-4),"")</f>
        <v>3755</v>
      </c>
      <c r="E13" s="34" t="str">
        <f>IFERROR(INDEX(Transactions!$O$2:$O$11,ROW()-4),"")</f>
        <v/>
      </c>
      <c r="F13" s="22" t="str">
        <f t="shared" si="0"/>
        <v/>
      </c>
      <c r="G13" s="16" t="str">
        <f t="shared" si="1"/>
        <v>N/A</v>
      </c>
    </row>
    <row r="14" spans="1:7" ht="15" customHeight="1">
      <c r="A14" s="16">
        <f>IFERROR(INDEX(Transactions!$A$2:$A$11,ROW()-4),"")</f>
        <v>10</v>
      </c>
      <c r="B14" s="16" t="str">
        <f>IFERROR(INDEX(Transactions!$D$2:$D$11,ROW()-4),"")</f>
        <v>Citi Double Cash</v>
      </c>
      <c r="C14" s="34" t="str">
        <f>IFERROR(INDEX(Transactions!$B$2:$B$11,ROW()-4),"")</f>
        <v>2024-12-05</v>
      </c>
      <c r="D14" s="22">
        <f>IFERROR(INDEX(Transactions!$L$2:$L$11,ROW()-4),"")</f>
        <v>3.14</v>
      </c>
      <c r="E14" s="34" t="str">
        <f>IFERROR(INDEX(Transactions!$O$2:$O$11,ROW()-4),"")</f>
        <v/>
      </c>
      <c r="F14" s="22" t="str">
        <f t="shared" si="0"/>
        <v/>
      </c>
      <c r="G14" s="16" t="str">
        <f t="shared" si="1"/>
        <v>N/A</v>
      </c>
    </row>
    <row r="17" spans="1:2" ht="15" customHeight="1">
      <c r="A17" s="35" t="s">
        <v>128</v>
      </c>
    </row>
    <row r="18" spans="1:2" ht="15" customHeight="1">
      <c r="A18" t="s">
        <v>129</v>
      </c>
      <c r="B18" s="8">
        <f>SUMIF(F5:F14,"&lt;30",D5:D14)</f>
        <v>0</v>
      </c>
    </row>
    <row r="19" spans="1:2" ht="15" customHeight="1">
      <c r="A19" t="s">
        <v>130</v>
      </c>
      <c r="B19" s="8">
        <f>SUMIFS(D5:D14,F5:F14,"&gt;=30",F5:F14,"&lt;90")</f>
        <v>0</v>
      </c>
    </row>
  </sheetData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"/>
  <sheetViews>
    <sheetView workbookViewId="0">
      <selection activeCell="A13" sqref="A13"/>
    </sheetView>
  </sheetViews>
  <sheetFormatPr defaultColWidth="8.85546875" defaultRowHeight="15" customHeight="1"/>
  <cols>
    <col min="1" max="1" width="22.5703125" customWidth="1"/>
    <col min="2" max="2" width="17" customWidth="1"/>
  </cols>
  <sheetData>
    <row r="1" spans="1:2" ht="15" customHeight="1">
      <c r="A1" s="36" t="s">
        <v>131</v>
      </c>
    </row>
    <row r="2" spans="1:2" ht="15" customHeight="1">
      <c r="A2" s="35" t="s">
        <v>132</v>
      </c>
      <c r="B2" s="9">
        <f ca="1">TODAY()</f>
        <v>46025</v>
      </c>
    </row>
    <row r="3" spans="1:2" ht="15.75" customHeight="1"/>
    <row r="4" spans="1:2" ht="15" customHeight="1">
      <c r="A4" s="37" t="s">
        <v>133</v>
      </c>
    </row>
    <row r="5" spans="1:2" ht="15" customHeight="1">
      <c r="A5" s="38" t="s">
        <v>134</v>
      </c>
      <c r="B5" s="38" t="s">
        <v>135</v>
      </c>
    </row>
    <row r="6" spans="1:2" ht="15" customHeight="1">
      <c r="A6" s="39" t="s">
        <v>115</v>
      </c>
      <c r="B6" s="40">
        <f>Dashboard!A5</f>
        <v>72</v>
      </c>
    </row>
    <row r="7" spans="1:2" ht="15" customHeight="1">
      <c r="A7" s="39" t="s">
        <v>136</v>
      </c>
      <c r="B7" s="40">
        <f>Dashboard!C5</f>
        <v>3.6</v>
      </c>
    </row>
    <row r="8" spans="1:2" ht="15" customHeight="1">
      <c r="A8" s="39" t="s">
        <v>137</v>
      </c>
      <c r="B8" s="39" t="str">
        <f>Dashboard!E5</f>
        <v>Capital One Venture X</v>
      </c>
    </row>
    <row r="9" spans="1:2" ht="15" customHeight="1">
      <c r="A9" s="39" t="s">
        <v>118</v>
      </c>
      <c r="B9" s="40">
        <f>Dashboard!G5</f>
        <v>864</v>
      </c>
    </row>
    <row r="10" spans="1:2" ht="15.75" customHeight="1"/>
    <row r="11" spans="1:2" ht="15" customHeight="1">
      <c r="A11" s="37" t="s">
        <v>138</v>
      </c>
    </row>
    <row r="12" spans="1:2" ht="15" customHeight="1">
      <c r="A12" s="38" t="s">
        <v>139</v>
      </c>
      <c r="B12" s="38" t="s">
        <v>140</v>
      </c>
    </row>
    <row r="13" spans="1:2" ht="15" customHeight="1">
      <c r="A13" s="39" t="str">
        <f>Dashboard!A15</f>
        <v>Chase Sapphire Preferred</v>
      </c>
      <c r="B13" s="40">
        <f>Dashboard!B15</f>
        <v>10.370000000000001</v>
      </c>
    </row>
    <row r="14" spans="1:2" ht="15" customHeight="1">
      <c r="A14" s="39" t="str">
        <f>Dashboard!A16</f>
        <v>Amex Gold Card</v>
      </c>
      <c r="B14" s="40">
        <f>Dashboard!B16</f>
        <v>3.3600000000000003</v>
      </c>
    </row>
    <row r="15" spans="1:2" ht="15" customHeight="1">
      <c r="A15" s="39" t="str">
        <f>Dashboard!A17</f>
        <v>Citi Double Cash</v>
      </c>
      <c r="B15" s="40">
        <f>Dashboard!B17</f>
        <v>8.06</v>
      </c>
    </row>
    <row r="16" spans="1:2" ht="15" customHeight="1">
      <c r="A16" s="39" t="str">
        <f>Dashboard!A18</f>
        <v>Capital One Venture X</v>
      </c>
      <c r="B16" s="40">
        <f>Dashboard!B18</f>
        <v>46.55</v>
      </c>
    </row>
    <row r="17" spans="1:2" ht="15" customHeight="1">
      <c r="A17" s="39" t="str">
        <f>Dashboard!A19</f>
        <v>Discover it Cash Back</v>
      </c>
      <c r="B17" s="40">
        <f>Dashboard!B19</f>
        <v>2.62</v>
      </c>
    </row>
    <row r="18" spans="1:2" ht="15" customHeight="1">
      <c r="A18" s="39" t="str">
        <f>Dashboard!A20</f>
        <v>Chase Freedom Unlimited</v>
      </c>
      <c r="B18" s="40">
        <f>Dashboard!B20</f>
        <v>1.04</v>
      </c>
    </row>
    <row r="19" spans="1:2" ht="15.75" customHeight="1"/>
    <row r="20" spans="1:2" ht="15" customHeight="1">
      <c r="A20" s="37" t="s">
        <v>141</v>
      </c>
    </row>
    <row r="21" spans="1:2" ht="15" customHeight="1">
      <c r="A21" s="38" t="s">
        <v>5</v>
      </c>
      <c r="B21" s="38" t="s">
        <v>140</v>
      </c>
    </row>
    <row r="22" spans="1:2" ht="15" customHeight="1">
      <c r="A22" s="39" t="str">
        <f>Dashboard!D15</f>
        <v>Groceries</v>
      </c>
      <c r="B22" s="40">
        <f>Dashboard!E15</f>
        <v>-0.48</v>
      </c>
    </row>
    <row r="23" spans="1:2" ht="15" customHeight="1">
      <c r="A23" s="39" t="str">
        <f>Dashboard!D16</f>
        <v>Dining</v>
      </c>
      <c r="B23" s="40">
        <f>Dashboard!E16</f>
        <v>6.98</v>
      </c>
    </row>
    <row r="24" spans="1:2" ht="15" customHeight="1">
      <c r="A24" s="39" t="str">
        <f>Dashboard!D17</f>
        <v>Online Shopping</v>
      </c>
      <c r="B24" s="40">
        <f>Dashboard!E17</f>
        <v>4.92</v>
      </c>
    </row>
    <row r="25" spans="1:2" ht="15" customHeight="1">
      <c r="A25" s="39" t="str">
        <f>Dashboard!D18</f>
        <v>Airlines</v>
      </c>
      <c r="B25" s="40">
        <f>Dashboard!E18</f>
        <v>9</v>
      </c>
    </row>
    <row r="26" spans="1:2" ht="15" customHeight="1">
      <c r="A26" s="39" t="str">
        <f>Dashboard!D19</f>
        <v>Gas</v>
      </c>
      <c r="B26" s="40">
        <f>Dashboard!E19</f>
        <v>2.62</v>
      </c>
    </row>
    <row r="27" spans="1:2" ht="15" customHeight="1">
      <c r="A27" s="39" t="str">
        <f>Dashboard!D20</f>
        <v>Drug Stores</v>
      </c>
      <c r="B27" s="40">
        <f>Dashboard!E20</f>
        <v>1.04</v>
      </c>
    </row>
    <row r="28" spans="1:2" ht="15" customHeight="1">
      <c r="A28" s="39" t="str">
        <f>Dashboard!D21</f>
        <v>Hotels</v>
      </c>
      <c r="B28" s="40">
        <f>Dashboard!E21</f>
        <v>44.78</v>
      </c>
    </row>
    <row r="29" spans="1:2" ht="15" customHeight="1">
      <c r="A29" s="39" t="str">
        <f>Dashboard!D22</f>
        <v>Department Stores</v>
      </c>
      <c r="B29" s="40">
        <f>Dashboard!E22</f>
        <v>3.14</v>
      </c>
    </row>
    <row r="30" spans="1:2" ht="15.75" customHeight="1"/>
    <row r="31" spans="1:2" ht="15" customHeight="1">
      <c r="A31" s="37" t="s">
        <v>142</v>
      </c>
    </row>
    <row r="32" spans="1:2" ht="15" customHeight="1">
      <c r="A32" s="38" t="s">
        <v>119</v>
      </c>
      <c r="B32" s="38" t="s">
        <v>143</v>
      </c>
    </row>
    <row r="33" spans="1:2" ht="15" customHeight="1">
      <c r="A33" s="39" t="str">
        <f>Dashboard!A9</f>
        <v>2024-10</v>
      </c>
      <c r="B33" s="40">
        <f>Dashboard!B9</f>
        <v>15.040000000000001</v>
      </c>
    </row>
    <row r="34" spans="1:2" ht="15" customHeight="1">
      <c r="A34" s="39" t="str">
        <f>Dashboard!A10</f>
        <v>2024-11</v>
      </c>
      <c r="B34" s="40">
        <f>Dashboard!B10</f>
        <v>16.27</v>
      </c>
    </row>
    <row r="35" spans="1:2" ht="15" customHeight="1">
      <c r="A35" s="39" t="str">
        <f>Dashboard!A11</f>
        <v>2024-12</v>
      </c>
      <c r="B35" s="40">
        <f>Dashboard!B11</f>
        <v>40.69</v>
      </c>
    </row>
    <row r="38" spans="1:2" ht="15" customHeight="1">
      <c r="A38" s="41" t="s">
        <v>144</v>
      </c>
    </row>
    <row r="39" spans="1:2" ht="15" customHeight="1">
      <c r="A39" s="41" t="s">
        <v>145</v>
      </c>
    </row>
  </sheetData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pane ySplit="1" topLeftCell="A2" activePane="bottomLeft" state="frozen"/>
      <selection pane="bottomLeft" sqref="A1:B1"/>
    </sheetView>
  </sheetViews>
  <sheetFormatPr defaultColWidth="8.85546875" defaultRowHeight="15" customHeight="1"/>
  <cols>
    <col min="1" max="1" width="20.5703125" customWidth="1"/>
    <col min="2" max="2" width="13.7109375" customWidth="1"/>
    <col min="4" max="4" width="20.5703125" customWidth="1"/>
    <col min="6" max="6" width="13.7109375" customWidth="1"/>
    <col min="8" max="8" width="13.7109375" customWidth="1"/>
    <col min="10" max="10" width="18.28515625" customWidth="1"/>
  </cols>
  <sheetData>
    <row r="1" spans="1:10" ht="15" customHeight="1">
      <c r="A1" s="46" t="s">
        <v>146</v>
      </c>
      <c r="B1" s="47"/>
      <c r="D1" s="42" t="s">
        <v>147</v>
      </c>
      <c r="F1" s="42" t="s">
        <v>148</v>
      </c>
      <c r="H1" s="42" t="s">
        <v>149</v>
      </c>
      <c r="J1" s="42" t="s">
        <v>150</v>
      </c>
    </row>
    <row r="2" spans="1:10" ht="15" customHeight="1">
      <c r="A2" s="43" t="s">
        <v>151</v>
      </c>
      <c r="B2" s="44">
        <v>0.01</v>
      </c>
      <c r="D2" s="43" t="s">
        <v>31</v>
      </c>
      <c r="F2" s="43" t="s">
        <v>24</v>
      </c>
      <c r="H2" s="43" t="s">
        <v>23</v>
      </c>
      <c r="J2" s="43" t="s">
        <v>25</v>
      </c>
    </row>
    <row r="3" spans="1:10" ht="15" customHeight="1">
      <c r="D3" s="45" t="s">
        <v>152</v>
      </c>
      <c r="F3" s="45" t="s">
        <v>38</v>
      </c>
      <c r="H3" s="45" t="s">
        <v>153</v>
      </c>
      <c r="J3" s="45" t="s">
        <v>32</v>
      </c>
    </row>
    <row r="4" spans="1:10" ht="15" customHeight="1">
      <c r="D4" s="43" t="s">
        <v>51</v>
      </c>
      <c r="F4" s="43" t="s">
        <v>45</v>
      </c>
      <c r="H4" s="43" t="s">
        <v>154</v>
      </c>
      <c r="J4" s="43" t="s">
        <v>155</v>
      </c>
    </row>
    <row r="5" spans="1:10" ht="15" customHeight="1">
      <c r="D5" s="45" t="s">
        <v>22</v>
      </c>
      <c r="H5" s="45" t="s">
        <v>156</v>
      </c>
      <c r="J5" s="45" t="s">
        <v>157</v>
      </c>
    </row>
    <row r="6" spans="1:10" ht="15" customHeight="1">
      <c r="D6" s="43" t="s">
        <v>37</v>
      </c>
      <c r="H6" s="43" t="s">
        <v>158</v>
      </c>
    </row>
    <row r="7" spans="1:10" ht="15" customHeight="1">
      <c r="D7" s="45" t="s">
        <v>159</v>
      </c>
    </row>
    <row r="8" spans="1:10" ht="15" customHeight="1">
      <c r="D8" s="43" t="s">
        <v>160</v>
      </c>
    </row>
    <row r="9" spans="1:10" ht="15" customHeight="1">
      <c r="D9" s="45" t="s">
        <v>161</v>
      </c>
    </row>
    <row r="10" spans="1:10" ht="15" customHeight="1">
      <c r="D10" s="43" t="s">
        <v>56</v>
      </c>
    </row>
    <row r="11" spans="1:10" ht="15" customHeight="1">
      <c r="D11" s="45" t="s">
        <v>71</v>
      </c>
    </row>
    <row r="12" spans="1:10" ht="15" customHeight="1">
      <c r="D12" s="43" t="s">
        <v>162</v>
      </c>
    </row>
    <row r="13" spans="1:10" ht="15" customHeight="1">
      <c r="D13" s="45" t="s">
        <v>60</v>
      </c>
    </row>
    <row r="14" spans="1:10" ht="15" customHeight="1">
      <c r="D14" s="43" t="s">
        <v>44</v>
      </c>
    </row>
    <row r="15" spans="1:10" ht="15" customHeight="1">
      <c r="D15" s="45" t="s">
        <v>163</v>
      </c>
    </row>
  </sheetData>
  <mergeCells count="1">
    <mergeCell ref="A1:B1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S7"/>
  <sheetViews>
    <sheetView tabSelected="1" workbookViewId="0">
      <selection activeCell="F12" sqref="F12"/>
    </sheetView>
  </sheetViews>
  <sheetFormatPr defaultRowHeight="15"/>
  <cols>
    <col min="19" max="19" width="55.85546875" customWidth="1"/>
  </cols>
  <sheetData>
    <row r="7" spans="4:19" ht="18.75">
      <c r="D7" s="48" t="s">
        <v>164</v>
      </c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Transactions</vt:lpstr>
      <vt:lpstr>Cards</vt:lpstr>
      <vt:lpstr>Redemptions</vt:lpstr>
      <vt:lpstr>Dashboard</vt:lpstr>
      <vt:lpstr>RewardsCalendar</vt:lpstr>
      <vt:lpstr>PrintableSummary</vt:lpstr>
      <vt:lpstr>Settings</vt:lpstr>
      <vt:lpstr>DISCLAIMER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Gobindo Das</cp:lastModifiedBy>
  <dcterms:created xsi:type="dcterms:W3CDTF">2025-12-30T06:23:41Z</dcterms:created>
  <dcterms:modified xsi:type="dcterms:W3CDTF">2026-01-03T17:08:39Z</dcterms:modified>
</cp:coreProperties>
</file>