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bookViews>
    <workbookView firstSheet="3" activeTab="8" tabRatio="1000"/>
  </bookViews>
  <sheets>
    <sheet r:id="rId1" name="Instructions" sheetId="1"/>
    <sheet r:id="rId2" name="Settings" sheetId="2"/>
    <sheet r:id="rId3" name="Transactions" sheetId="3"/>
    <sheet r:id="rId4" name="StatementImport" sheetId="4"/>
    <sheet r:id="rId5" name="Reconciliation" sheetId="5"/>
    <sheet r:id="rId6" name="MonthlySummary" sheetId="6"/>
    <sheet r:id="rId7" name="ExpenseReport" sheetId="7"/>
    <sheet r:id="rId8" name="PrintableItemizedStatement" sheetId="8"/>
    <sheet r:id="rId9" name="AuditLog" sheetId="9"/>
  </sheets>
  <calcPr calcId="0" iterate="1" iterateCount="1000" iterateDelta="0.01"/>
</workbook>
</file>

<file path=xl/sharedStrings.xml><?xml version="1.0" encoding="utf-8"?>
<sst xmlns="http://schemas.openxmlformats.org/spreadsheetml/2006/main" count="335" uniqueCount="335">
  <si>
    <t>v1.0.0</t>
  </si>
  <si>
    <t>CREDIT CARD RECONCILIATION &amp; EXPENSE TRACKER</t>
  </si>
  <si>
    <t>PURPOSE</t>
  </si>
  <si>
    <t>This workbook helps accountants, small businesses, finance teams, and freelancers track credit card expenses, reconcile monthly statements, and generate professional expense reports. Track transactions by category, vendor, and business purpose. Automatically match transactions with bank statements to ensure accuracy. Generate monthly summaries with spending insights and visual charts. Create printable expense reports for reimbursement submissions.</t>
  </si>
  <si>
    <t>HOW TO USE</t>
  </si>
  <si>
    <t>Step 1: Configure your settings in the Settings sheet (company name, currency, tax rate)</t>
  </si>
  <si>
    <t>Step 2: Enter transactions in the Transactions sheet or import from CSV</t>
  </si>
  <si>
    <t>Step 3: Import bank statements to StatementImport sheet</t>
  </si>
  <si>
    <t>Step 4: Review Reconciliation sheet for automatic matching</t>
  </si>
  <si>
    <t>Step 5: Use MonthlySummary for spending analysis and charts</t>
  </si>
  <si>
    <t>Step 6: Generate printable ExpenseReport for reimbursements</t>
  </si>
  <si>
    <t>Step 7: Export reports as PDF for submission</t>
  </si>
  <si>
    <t>SYSTEM REQUIREMENTS</t>
  </si>
  <si>
    <t>Excel 365 recommended for full functionality (XLOOKUP support)</t>
  </si>
  <si>
    <t>Excel 2019+ supported with VLOOKUP fallback formulas</t>
  </si>
  <si>
    <t>Macros optional - manual workflow provided for macro-free use</t>
  </si>
  <si>
    <t>KEYBOARD SHORTCUTS</t>
  </si>
  <si>
    <t>Ctrl+T: Convert range to Table</t>
  </si>
  <si>
    <t>Ctrl+Shift+L: Toggle filters</t>
  </si>
  <si>
    <t>Alt+Down: Open dropdown in cell</t>
  </si>
  <si>
    <t>Ctrl+;: Insert current date</t>
  </si>
  <si>
    <t>Ctrl+Shift+;: Insert current time</t>
  </si>
  <si>
    <t>Ctrl+P: Print/Export to PDF</t>
  </si>
  <si>
    <t>F5: Go To (navigate named ranges)</t>
  </si>
  <si>
    <t>EXPORT TO PDF STEPS</t>
  </si>
  <si>
    <t>1. Go to the sheet you want to export (ExpenseReport or PrintableItemizedStatement)</t>
  </si>
  <si>
    <t>2. Press Ctrl+P or File &gt; Print</t>
  </si>
  <si>
    <t>3. Select "Microsoft Print to PDF" or "Save as PDF"</t>
  </si>
  <si>
    <t>4. Choose destination folder and filename</t>
  </si>
  <si>
    <t>5. Click Print/Save</t>
  </si>
  <si>
    <t>MACRO-FREE MANUAL WORKFLOW</t>
  </si>
  <si>
    <t>1. Export bank statement as CSV from your bank's website</t>
  </si>
  <si>
    <t>2. Open CSV in Excel, copy data rows (without headers)</t>
  </si>
  <si>
    <t>3. Paste into StatementImport sheet starting at row 2</t>
  </si>
  <si>
    <t>4. Go to Reconciliation sheet to review automatic matches</t>
  </si>
  <si>
    <t>5. Manually mark unmatched items in Transactions sheet (Reconciled = Yes/No)</t>
  </si>
  <si>
    <t>6. Review MonthlySummary for spending insights</t>
  </si>
  <si>
    <t>7. Print ExpenseReport sheet for submission</t>
  </si>
  <si>
    <t>DISCLAIMER</t>
  </si>
  <si>
    <t>"For personal tracking only. Not financial advice."</t>
  </si>
  <si>
    <t>Free Credit Card Tracker by Credit Card Wind</t>
  </si>
  <si>
    <t>© Credit Card Wind. All rights reserved.</t>
  </si>
  <si>
    <t>______________________________________</t>
  </si>
  <si>
    <t>CONFIGURATION SETTINGS</t>
  </si>
  <si>
    <t>DROPDOWN SOURCE LISTS</t>
  </si>
  <si>
    <t>Currency Codes</t>
  </si>
  <si>
    <t>Date Formats</t>
  </si>
  <si>
    <t>USD</t>
  </si>
  <si>
    <t>YYYY-MM-DD</t>
  </si>
  <si>
    <t>Company Name</t>
  </si>
  <si>
    <t>Expense Categories</t>
  </si>
  <si>
    <t>Payment Methods</t>
  </si>
  <si>
    <t>EUR</t>
  </si>
  <si>
    <t>MM/DD/YYYY</t>
  </si>
  <si>
    <t>Reporting Currency</t>
  </si>
  <si>
    <t>Travel</t>
  </si>
  <si>
    <t>Visa</t>
  </si>
  <si>
    <t>GBP</t>
  </si>
  <si>
    <t>DD/MM/YYYY</t>
  </si>
  <si>
    <t>Date Format</t>
  </si>
  <si>
    <t>Meals</t>
  </si>
  <si>
    <t>Mastercard</t>
  </si>
  <si>
    <t>CAD</t>
  </si>
  <si>
    <t>Reconciliation Tolerance</t>
  </si>
  <si>
    <t>Office Supplies</t>
  </si>
  <si>
    <t>AMEX</t>
  </si>
  <si>
    <t>AUD</t>
  </si>
  <si>
    <t>Default Tax Rate</t>
  </si>
  <si>
    <t>Advertising</t>
  </si>
  <si>
    <t>Other</t>
  </si>
  <si>
    <t>JPY</t>
  </si>
  <si>
    <t>Utilities</t>
  </si>
  <si>
    <t>Subscription</t>
  </si>
  <si>
    <t>Refunds</t>
  </si>
  <si>
    <t>Reimbursable</t>
  </si>
  <si>
    <t>Flag Status</t>
  </si>
  <si>
    <t>Yes</t>
  </si>
  <si>
    <t>OK</t>
  </si>
  <si>
    <t>No</t>
  </si>
  <si>
    <t>Duplicate</t>
  </si>
  <si>
    <t>Chargeback</t>
  </si>
  <si>
    <t>Suspicious</t>
  </si>
  <si>
    <t>Projects/Clients</t>
  </si>
  <si>
    <t>General</t>
  </si>
  <si>
    <t>Project Alpha</t>
  </si>
  <si>
    <t>Project Beta</t>
  </si>
  <si>
    <t>Client ABC</t>
  </si>
  <si>
    <t>Client XYZ</t>
  </si>
  <si>
    <t>Internal</t>
  </si>
  <si>
    <t>TxnID</t>
  </si>
  <si>
    <t>PostedDate</t>
  </si>
  <si>
    <t>StatementDate</t>
  </si>
  <si>
    <t>CardName</t>
  </si>
  <si>
    <t>Last4</t>
  </si>
  <si>
    <t>Merchant</t>
  </si>
  <si>
    <t>MerchantCategory</t>
  </si>
  <si>
    <t>Description</t>
  </si>
  <si>
    <t>Amount</t>
  </si>
  <si>
    <t>Currency</t>
  </si>
  <si>
    <t>ExchangeRate</t>
  </si>
  <si>
    <t>LocalAmount</t>
  </si>
  <si>
    <t>TaxAmount</t>
  </si>
  <si>
    <t>ProjectClient</t>
  </si>
  <si>
    <t>ReceiptURL</t>
  </si>
  <si>
    <t>Reconciled</t>
  </si>
  <si>
    <t>ReconciledDate</t>
  </si>
  <si>
    <t>ReconcileMatchID</t>
  </si>
  <si>
    <t>Flag</t>
  </si>
  <si>
    <t>Notes</t>
  </si>
  <si>
    <t>LastEditedBy</t>
  </si>
  <si>
    <t>LastEditedAt</t>
  </si>
  <si>
    <t>TXN-2024-001</t>
  </si>
  <si>
    <t>2024-12-01</t>
  </si>
  <si>
    <t>2024-12-02</t>
  </si>
  <si>
    <t>Visa #1234</t>
  </si>
  <si>
    <t>Amazon</t>
  </si>
  <si>
    <t>Office supplies for Q4</t>
  </si>
  <si>
    <t>Initial purchase</t>
  </si>
  <si>
    <t>Admin</t>
  </si>
  <si>
    <t>2024-12-01 09:15</t>
  </si>
  <si>
    <t>TXN-2024-002</t>
  </si>
  <si>
    <t>2024-12-03</t>
  </si>
  <si>
    <t>Mastercard #5678</t>
  </si>
  <si>
    <t>Delta Airlines</t>
  </si>
  <si>
    <t>Flight to client meeting NYC</t>
  </si>
  <si>
    <t>Business travel</t>
  </si>
  <si>
    <t>John Smith</t>
  </si>
  <si>
    <t>2024-12-02 14:30</t>
  </si>
  <si>
    <t>TXN-2024-003</t>
  </si>
  <si>
    <t>2024-12-04</t>
  </si>
  <si>
    <t>Starbucks</t>
  </si>
  <si>
    <t>Team coffee meeting</t>
  </si>
  <si>
    <t>2024-12-03 10:00</t>
  </si>
  <si>
    <t>TXN-2024-004</t>
  </si>
  <si>
    <t>2024-12-05</t>
  </si>
  <si>
    <t>2024-12-06</t>
  </si>
  <si>
    <t>AMEX #9012</t>
  </si>
  <si>
    <t>Marriott Hotels</t>
  </si>
  <si>
    <t>NYC hotel 2 nights</t>
  </si>
  <si>
    <t>Client visit accommodation</t>
  </si>
  <si>
    <t>2024-12-05 16:45</t>
  </si>
  <si>
    <t>TXN-2024-005</t>
  </si>
  <si>
    <t>2024-12-07</t>
  </si>
  <si>
    <t>Uber</t>
  </si>
  <si>
    <t>Airport to hotel</t>
  </si>
  <si>
    <t>Ground transport</t>
  </si>
  <si>
    <t>2024-12-06 08:20</t>
  </si>
  <si>
    <t>TXN-2024-006</t>
  </si>
  <si>
    <t>2024-12-08</t>
  </si>
  <si>
    <t>Adobe Systems</t>
  </si>
  <si>
    <t>Creative Cloud annual</t>
  </si>
  <si>
    <t>Software license</t>
  </si>
  <si>
    <t>2024-12-07 00:00</t>
  </si>
  <si>
    <t>TXN-2024-007</t>
  </si>
  <si>
    <t>2024-12-09</t>
  </si>
  <si>
    <t>Chipotle</t>
  </si>
  <si>
    <t>Client lunch meeting</t>
  </si>
  <si>
    <t>Sarah Lee</t>
  </si>
  <si>
    <t>2024-12-08 12:30</t>
  </si>
  <si>
    <t>TXN-2024-008</t>
  </si>
  <si>
    <t>2024-12-10</t>
  </si>
  <si>
    <t>2024-12-11</t>
  </si>
  <si>
    <t>Office Depot</t>
  </si>
  <si>
    <t>Printer paper and toner</t>
  </si>
  <si>
    <t>Monthly supplies</t>
  </si>
  <si>
    <t>2024-12-10 11:15</t>
  </si>
  <si>
    <t>TXN-2024-009</t>
  </si>
  <si>
    <t>2024-12-12</t>
  </si>
  <si>
    <t>AT&amp;T</t>
  </si>
  <si>
    <t>Mobile phone service</t>
  </si>
  <si>
    <t>Company phones</t>
  </si>
  <si>
    <t>2024-12-11 00:00</t>
  </si>
  <si>
    <t>TXN-2024-010</t>
  </si>
  <si>
    <t>2024-12-13</t>
  </si>
  <si>
    <t>Google Ads</t>
  </si>
  <si>
    <t>December ad campaign</t>
  </si>
  <si>
    <t>Marketing spend</t>
  </si>
  <si>
    <t>Marketing</t>
  </si>
  <si>
    <t>2024-12-12 09:00</t>
  </si>
  <si>
    <t>TXN-2024-011</t>
  </si>
  <si>
    <t>2024-12-14</t>
  </si>
  <si>
    <t>Shell Gas</t>
  </si>
  <si>
    <t>Fuel for rental car</t>
  </si>
  <si>
    <t>2024-12-13 17:30</t>
  </si>
  <si>
    <t>TXN-2024-012</t>
  </si>
  <si>
    <t>2024-12-15</t>
  </si>
  <si>
    <t>2024-12-16</t>
  </si>
  <si>
    <t>Ergonomic keyboards x3</t>
  </si>
  <si>
    <t>Possible duplicate</t>
  </si>
  <si>
    <t>2024-12-15 14:00</t>
  </si>
  <si>
    <t>TXN-2024-013</t>
  </si>
  <si>
    <t>2024-12-17</t>
  </si>
  <si>
    <t>Zoom</t>
  </si>
  <si>
    <t>Annual subscription</t>
  </si>
  <si>
    <t>Video conferencing</t>
  </si>
  <si>
    <t>2024-12-16 00:00</t>
  </si>
  <si>
    <t>TXN-2024-014</t>
  </si>
  <si>
    <t>2024-12-18</t>
  </si>
  <si>
    <t>2024-12-19</t>
  </si>
  <si>
    <t>The Steakhouse</t>
  </si>
  <si>
    <t>Year-end team dinner</t>
  </si>
  <si>
    <t>Holiday celebration</t>
  </si>
  <si>
    <t>2024-12-18 20:15</t>
  </si>
  <si>
    <t>TXN-2024-015</t>
  </si>
  <si>
    <t>2024-12-20</t>
  </si>
  <si>
    <t>Returned item credit</t>
  </si>
  <si>
    <t>Refund processed</t>
  </si>
  <si>
    <t>2024-12-19 10:00</t>
  </si>
  <si>
    <t>TXN-2024-016</t>
  </si>
  <si>
    <t>2024-12-21</t>
  </si>
  <si>
    <t>LinkedIn</t>
  </si>
  <si>
    <t>Premium recruiting ad</t>
  </si>
  <si>
    <t>HR advertising</t>
  </si>
  <si>
    <t>HR Dept</t>
  </si>
  <si>
    <t>2024-12-20 08:45</t>
  </si>
  <si>
    <t>TXN-2024-017</t>
  </si>
  <si>
    <t>2024-12-22</t>
  </si>
  <si>
    <t>2024-12-23</t>
  </si>
  <si>
    <t>Best Buy</t>
  </si>
  <si>
    <t>Monitor for remote worker</t>
  </si>
  <si>
    <t>Large purchase verify</t>
  </si>
  <si>
    <t>2024-12-22 15:30</t>
  </si>
  <si>
    <t>TXN-2024-018</t>
  </si>
  <si>
    <t>2024-12-24</t>
  </si>
  <si>
    <t>Comcast</t>
  </si>
  <si>
    <t>Internet service</t>
  </si>
  <si>
    <t>Office internet</t>
  </si>
  <si>
    <t>2024-12-23 00:00</t>
  </si>
  <si>
    <t>StatementLineID</t>
  </si>
  <si>
    <t>CardLast4</t>
  </si>
  <si>
    <t>Reference</t>
  </si>
  <si>
    <t>STMT-001</t>
  </si>
  <si>
    <t>AMAZON.COM</t>
  </si>
  <si>
    <t>STMT-002</t>
  </si>
  <si>
    <t>DELTA AIR LINES</t>
  </si>
  <si>
    <t>STMT-003</t>
  </si>
  <si>
    <t>STARBUCKS STORE</t>
  </si>
  <si>
    <t>STMT-004</t>
  </si>
  <si>
    <t>ADOBE *CREATIVE</t>
  </si>
  <si>
    <t>STMT-005</t>
  </si>
  <si>
    <t>UNKNOWN MERCHANT</t>
  </si>
  <si>
    <t>STMT-006</t>
  </si>
  <si>
    <t>BANK FEE</t>
  </si>
  <si>
    <t>Import bank statement CSV data above. Rows 6-7 are unmatched examples.</t>
  </si>
  <si>
    <t>RECONCILIATION SUMMARY</t>
  </si>
  <si>
    <t>Metric</t>
  </si>
  <si>
    <t>Count</t>
  </si>
  <si>
    <t>Total Statement Lines</t>
  </si>
  <si>
    <t>Matched (Exact)</t>
  </si>
  <si>
    <t>Matched (Fuzzy)</t>
  </si>
  <si>
    <t>Unmatched Statement</t>
  </si>
  <si>
    <t>Total Transactions</t>
  </si>
  <si>
    <t>Reconciled Transactions</t>
  </si>
  <si>
    <t>Unreconciled Transactions</t>
  </si>
  <si>
    <t>Mismatch Amount</t>
  </si>
  <si>
    <t>STATEMENT LINE MATCHING</t>
  </si>
  <si>
    <t>MATCH_STATUS</t>
  </si>
  <si>
    <t>MATCH_REASON</t>
  </si>
  <si>
    <t>MatchedTxnID</t>
  </si>
  <si>
    <t>AmountDiff</t>
  </si>
  <si>
    <t>Exact</t>
  </si>
  <si>
    <t>Reference ID match</t>
  </si>
  <si>
    <t>MONTHLY SPENDING DASHBOARD - December 2024</t>
  </si>
  <si>
    <t>SPEND BY CATEGORY</t>
  </si>
  <si>
    <t>TOP 10 MERCHANTS</t>
  </si>
  <si>
    <t>Category</t>
  </si>
  <si>
    <t>Total Amount</t>
  </si>
  <si>
    <t>% of Total</t>
  </si>
  <si>
    <t>TOTAL</t>
  </si>
  <si>
    <t>SPEND BY PROJECT/CLIENT</t>
  </si>
  <si>
    <t>Project/Client</t>
  </si>
  <si>
    <t>RECONCILIATION STATUS</t>
  </si>
  <si>
    <t>Status</t>
  </si>
  <si>
    <t>Not Reconciled</t>
  </si>
  <si>
    <t>MONTHLY EXPENSE REPORT</t>
  </si>
  <si>
    <t>Company:</t>
  </si>
  <si>
    <t>Month:</t>
  </si>
  <si>
    <t>December 2024</t>
  </si>
  <si>
    <t>SUMMARY</t>
  </si>
  <si>
    <t>Employee:</t>
  </si>
  <si>
    <t>Prepared By:</t>
  </si>
  <si>
    <t>Total Spend:</t>
  </si>
  <si>
    <t>Card Last4:</t>
  </si>
  <si>
    <t>Approved By:</t>
  </si>
  <si>
    <t>Reimbursable:</t>
  </si>
  <si>
    <t>Transactions:</t>
  </si>
  <si>
    <t>EXPENSE DETAILS</t>
  </si>
  <si>
    <t>Date</t>
  </si>
  <si>
    <t>Project</t>
  </si>
  <si>
    <t>Tax</t>
  </si>
  <si>
    <t>Receipt</t>
  </si>
  <si>
    <t>N</t>
  </si>
  <si>
    <t>SUBTOTAL BY CATEGORY</t>
  </si>
  <si>
    <t>Employee Signature: ___________________</t>
  </si>
  <si>
    <t>Date: _________</t>
  </si>
  <si>
    <t>Approver Signature: ___________________</t>
  </si>
  <si>
    <t>For personal tracking only. Not financial advice.</t>
  </si>
  <si>
    <t>CREDIT CARD STATEMENT</t>
  </si>
  <si>
    <t>Statement Period:</t>
  </si>
  <si>
    <t>December 1-31, 2024</t>
  </si>
  <si>
    <t>Card:</t>
  </si>
  <si>
    <t>Report Date:</t>
  </si>
  <si>
    <t>ITEMIZED TRANSACTIONS</t>
  </si>
  <si>
    <t>#</t>
  </si>
  <si>
    <t>Total Charges:</t>
  </si>
  <si>
    <t>Total Credits:</t>
  </si>
  <si>
    <t>Net Amount:</t>
  </si>
  <si>
    <t>Cardholder Signature: ___________________</t>
  </si>
  <si>
    <t>Reviewed By: ___________________</t>
  </si>
  <si>
    <t>AUDIT LOG - TRANSACTION CHANGES</t>
  </si>
  <si>
    <t>This log tracks changes made to transactions. (Macro output - populate via VBA or manual entry)</t>
  </si>
  <si>
    <t>FieldChanged</t>
  </si>
  <si>
    <t>OldValue</t>
  </si>
  <si>
    <t>NewValue</t>
  </si>
  <si>
    <t>ChangeTimestamp</t>
  </si>
  <si>
    <t>ChangedBy</t>
  </si>
  <si>
    <t>ChangeReason</t>
  </si>
  <si>
    <t>2024-12-01 09:20</t>
  </si>
  <si>
    <t>Price correction from receipt</t>
  </si>
  <si>
    <t>2024-12-03 10:15</t>
  </si>
  <si>
    <t>Recategorized expense</t>
  </si>
  <si>
    <t>2024-12-05 17:00</t>
  </si>
  <si>
    <t>Approved for reimbursement</t>
  </si>
  <si>
    <t>2024-12-08 13:00</t>
  </si>
  <si>
    <t>Assigned to client project</t>
  </si>
  <si>
    <t>2024-12-12 09:30</t>
  </si>
  <si>
    <t>Budget adjustment</t>
  </si>
  <si>
    <t>2024-12-15 14:30</t>
  </si>
  <si>
    <t>Flagged for review - possible duplicate</t>
  </si>
  <si>
    <t>Team dinner</t>
  </si>
  <si>
    <t>2024-12-18 20:30</t>
  </si>
  <si>
    <t>Updated description</t>
  </si>
  <si>
    <t>2024-12-22 16:00</t>
  </si>
  <si>
    <t>Large purchase requires verification</t>
  </si>
  <si>
    <t>Note: This log is populated automatically when macros are enabled, or can be maintained manually.</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</si>
</sst>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72" formatCode="$#,##0.00"/>
    <numFmt numFmtId="473" formatCode="yyyy-mm-dd"/>
    <numFmt numFmtId="476" formatCode="0.0000"/>
    <numFmt numFmtId="479" formatCode="yyyy-mm-dd hh:mm"/>
    <numFmt numFmtId="666" formatCode="mm/dd/yyyy"/>
    <numFmt numFmtId="730" formatCode="_(* #,##0.00_);_(* (#,##0.00);_(* &quot;-&quot;??_);_(@_)"/>
  </numFmts>
  <fonts count="19">
    <font>
      <sz val="11"/>
      <color theme="1"/>
      <name val="Calibri"/>
      <scheme val="minor"/>
    </font>
    <font>
      <b/>
      <i val="0"/>
      <sz val="11"/>
      <color rgb="FF808080"/>
      <name val="Aptos Narrow"/>
    </font>
    <font>
      <b/>
      <i val="0"/>
      <sz val="18"/>
      <color rgb="FF1F4E79"/>
      <name val="Aptos Narrow"/>
    </font>
    <font>
      <name val="Calibri"/>
      <scheme val="minor"/>
    </font>
    <font>
      <b/>
      <i val="0"/>
      <sz val="14"/>
      <color rgb="FF1F4E79"/>
      <name val="Aptos Narrow"/>
    </font>
    <font>
      <b val="0"/>
      <i val="0"/>
      <sz val="11"/>
      <name val="Aptos Narrow"/>
    </font>
    <font>
      <b/>
      <i val="0"/>
      <sz val="12"/>
      <name val="Aptos Narrow"/>
    </font>
    <font>
      <b val="0"/>
      <i/>
      <sz val="11"/>
      <name val="Aptos Narrow"/>
    </font>
    <font>
      <b/>
      <i val="0"/>
      <sz val="16"/>
      <color rgb="FF1F4E79"/>
      <name val="Aptos Narrow"/>
    </font>
    <font>
      <b/>
      <i val="0"/>
      <sz val="11"/>
      <name val="Aptos Narrow"/>
    </font>
    <font>
      <b/>
      <i val="0"/>
      <sz val="11"/>
      <color rgb="FFFFFFFF"/>
      <name val="Aptos Narrow"/>
    </font>
    <font>
      <b/>
      <i val="0"/>
      <sz val="16"/>
      <color rgb="FFFFFFFF"/>
      <name val="Aptos Narrow"/>
    </font>
    <font>
      <b/>
      <i val="0"/>
      <sz val="14"/>
      <color rgb="FFFFFFFF"/>
      <name val="Aptos Narrow"/>
    </font>
    <font>
      <color rgb="FF006100"/>
      <name val="Calibri"/>
      <scheme val="minor"/>
    </font>
    <font>
      <b/>
      <i val="0"/>
      <sz val="18"/>
      <color rgb="FF1F4E78"/>
      <name val="Aptos Narrow"/>
    </font>
    <font>
      <b/>
      <i val="0"/>
      <sz val="14"/>
      <color rgb="FF1F4E78"/>
      <name val="Aptos Narrow"/>
    </font>
    <font>
      <b/>
      <i val="0"/>
      <sz val="20"/>
      <color rgb="FFFFFFFF"/>
      <name val="Aptos Narrow"/>
    </font>
    <font>
      <b val="0"/>
      <i/>
      <sz val="10"/>
      <name val="Aptos Narrow"/>
    </font>
    <font>
      <b val="0"/>
      <i val="0"/>
      <sz val="10"/>
      <name val="Aptos Narrow"/>
    </font>
  </fonts>
  <fills count="13">
    <fill>
      <patternFill patternType="none"/>
    </fill>
    <fill>
      <patternFill patternType="gray125"/>
    </fill>
    <fill>
      <patternFill patternType="solid">
        <fgColor rgb="FFF5F5F5"/>
      </patternFill>
    </fill>
    <fill>
      <patternFill patternType="solid">
        <fgColor rgb="FFE6F2FF"/>
      </patternFill>
    </fill>
    <fill>
      <patternFill patternType="solid">
        <fgColor rgb="FF1F4E79"/>
      </patternFill>
    </fill>
    <fill>
      <patternFill patternType="solid">
        <fgColor rgb="FFFFFFFF"/>
      </patternFill>
    </fill>
    <fill>
      <patternFill patternType="solid">
        <fgColor rgb="FFF0F0F0"/>
      </patternFill>
    </fill>
    <fill>
      <patternFill patternType="solid">
        <fgColor rgb="FFF2F2F2"/>
      </patternFill>
    </fill>
    <fill>
      <patternFill patternType="solid">
        <fgColor rgb="FF1F4E78"/>
      </patternFill>
    </fill>
    <fill>
      <patternFill patternType="solid">
        <fgColor rgb="FFFFE699"/>
      </patternFill>
    </fill>
    <fill>
      <patternFill patternType="solid">
        <fgColor rgb="FFC6EFCE"/>
      </patternFill>
    </fill>
    <fill>
      <patternFill patternType="solid">
        <fgColor rgb="FFD9D9D9"/>
      </patternFill>
    </fill>
    <fill>
      <patternFill patternType="solid">
        <fgColor rgb="FFF9F9F9"/>
      </patternFill>
    </fill>
  </fills>
  <borders count="12">
    <border>
      <left/>
      <right/>
      <top/>
      <bottom/>
    </border>
    <border>
      <left>
        <color rgb="FF000000"/>
      </left>
      <right>
        <color rgb="FF000000"/>
      </right>
      <top>
        <color rgb="FF000000"/>
      </top>
      <bottom>
        <color rgb="FF000000"/>
      </bottom>
    </border>
    <border>
      <bottom style="thin">
        <color rgb="FF1F4E79"/>
      </bottom>
    </border>
    <border>
      <bottom style="thin">
        <color rgb="FF000000"/>
      </bottom>
    </border>
    <border>
      <bottom style="thick">
        <color rgb="FF1F4E79"/>
      </bottom>
    </border>
    <border>
      <left style="thin">
        <color rgb="FFCCCCCC"/>
      </left>
      <right style="thin">
        <color rgb="FFCCCCCC"/>
      </right>
      <top style="thin">
        <color rgb="FFCCCCCC"/>
      </top>
      <bottom style="thin">
        <color rgb="FFCCCCCC"/>
      </bottom>
    </border>
    <border>
      <left style="thin">
        <color rgb="FF1F4E79"/>
      </left>
      <right style="thin">
        <color rgb="FF1F4E79"/>
      </right>
      <top style="thin">
        <color rgb="FF1F4E79"/>
      </top>
      <bottom style="thin">
        <color rgb="FF1F4E79"/>
      </bottom>
    </border>
    <border>
      <left style="thin">
        <color rgb="FFCCCCCC"/>
      </left>
      <right style="thin">
        <color rgb="FFCCCCCC"/>
      </right>
      <bottom style="thin">
        <color rgb="FFCCCCCC"/>
      </bottom>
    </border>
    <border>
      <left style="thin">
        <color rgb="FFD3D3D3"/>
      </left>
      <right style="thin">
        <color rgb="FFD3D3D3"/>
      </right>
      <top style="thin">
        <color rgb="FFD3D3D3"/>
      </top>
      <bottom style="thin">
        <color rgb="FFD3D3D3"/>
      </bottom>
    </border>
    <border>
      <top style="medium">
        <color rgb="FF000000"/>
      </top>
    </border>
    <border>
      <top style="thin">
        <color rgb="FF000000"/>
      </top>
    </border>
    <border>
      <left style="thin">
        <color rgb="FFD0D0D0"/>
      </left>
      <right style="thin">
        <color rgb="FFD0D0D0"/>
      </right>
      <top style="thin">
        <color rgb="FFD0D0D0"/>
      </top>
      <bottom style="thin">
        <color rgb="FFD0D0D0"/>
      </bottom>
    </border>
  </borders>
  <cellStyleXfs count="1">
    <xf numFmtId="0" fontId="0" fillId="0" borderId="1">
      <alignment horizontal="general" vertical="top"/>
    </xf>
  </cellStyleXfs>
  <cellXfs count="80">
    <xf numFmtId="0" fontId="0" fillId="0" borderId="1" xfId="0">
      <alignment vertical="top"/>
    </xf>
    <xf numFmtId="0" fontId="1" fillId="0" borderId="0" xfId="0">
      <alignment horizontal="right" vertical="top"/>
    </xf>
    <xf numFmtId="0" fontId="2" fillId="2" borderId="0" xfId="0">
      <alignment horizontal="left" vertical="top"/>
    </xf>
    <xf numFmtId="0" fontId="3" fillId="2" borderId="0" xfId="0">
      <alignment vertical="top"/>
    </xf>
    <xf numFmtId="0" fontId="4" fillId="2" borderId="2" xfId="0">
      <alignment horizontal="left" vertical="top"/>
    </xf>
    <xf numFmtId="0" fontId="5" fillId="2" borderId="0" xfId="0">
      <alignment horizontal="left" vertical="top"/>
    </xf>
    <xf numFmtId="0" fontId="3" fillId="2" borderId="3" xfId="0">
      <alignment vertical="top"/>
    </xf>
    <xf numFmtId="0" fontId="6" fillId="2" borderId="0" xfId="0">
      <alignment horizontal="center" vertical="top"/>
    </xf>
    <xf numFmtId="0" fontId="7" fillId="2" borderId="0" xfId="0">
      <alignment horizontal="center" vertical="top"/>
    </xf>
    <xf numFmtId="0" fontId="5" fillId="2" borderId="0" xfId="0">
      <alignment horizontal="center" vertical="top"/>
    </xf>
    <xf numFmtId="0" fontId="8" fillId="0" borderId="4" xfId="0">
      <alignment horizontal="left" vertical="center"/>
    </xf>
    <xf numFmtId="0" fontId="9" fillId="0" borderId="0" xfId="0">
      <alignment horizontal="left" vertical="center"/>
    </xf>
    <xf numFmtId="0" fontId="5" fillId="0" borderId="0" xfId="0">
      <alignment horizontal="left" vertical="center"/>
    </xf>
    <xf numFmtId="0" fontId="3" fillId="3" borderId="5" xfId="0">
      <alignment vertical="top"/>
    </xf>
    <xf numFmtId="0" fontId="10" fillId="4" borderId="6" xfId="0">
      <alignment horizontal="left" vertical="top"/>
    </xf>
    <xf numFmtId="0" fontId="3" fillId="5" borderId="7" xfId="0">
      <alignment vertical="top"/>
    </xf>
    <xf numFmtId="0" fontId="3" fillId="6" borderId="7" xfId="0">
      <alignment vertical="top"/>
    </xf>
    <xf numFmtId="472" fontId="3" fillId="3" borderId="5" xfId="0">
      <alignment vertical="top"/>
    </xf>
    <xf numFmtId="10" fontId="3" fillId="3" borderId="5" xfId="0">
      <alignment vertical="top"/>
    </xf>
    <xf numFmtId="0" fontId="10" fillId="4" borderId="0" xfId="0">
      <alignment horizontal="center" vertical="top"/>
    </xf>
    <xf numFmtId="473" fontId="3" fillId="0" borderId="0" xfId="0">
      <alignment vertical="top"/>
    </xf>
    <xf numFmtId="472" fontId="3" fillId="0" borderId="0" xfId="0">
      <alignment vertical="top"/>
    </xf>
    <xf numFmtId="476" fontId="3" fillId="0" borderId="0" xfId="0">
      <alignment vertical="top"/>
    </xf>
    <xf numFmtId="479" fontId="3" fillId="0" borderId="0" xfId="0">
      <alignment vertical="top"/>
    </xf>
    <xf numFmtId="0" fontId="3" fillId="7" borderId="0" xfId="0">
      <alignment vertical="top"/>
    </xf>
    <xf numFmtId="473" fontId="3" fillId="7" borderId="0" xfId="0">
      <alignment vertical="top"/>
    </xf>
    <xf numFmtId="472" fontId="3" fillId="7" borderId="0" xfId="0">
      <alignment vertical="top"/>
    </xf>
    <xf numFmtId="0" fontId="11" fillId="8" borderId="0" xfId="0">
      <alignment horizontal="center" vertical="center"/>
    </xf>
    <xf numFmtId="0" fontId="10" fillId="8" borderId="8" xfId="0">
      <alignment horizontal="center" vertical="center"/>
    </xf>
    <xf numFmtId="0" fontId="3" fillId="0" borderId="8" xfId="0">
      <alignment vertical="top"/>
    </xf>
    <xf numFmtId="472" fontId="3" fillId="0" borderId="8" xfId="0">
      <alignment vertical="top"/>
    </xf>
    <xf numFmtId="472" fontId="9" fillId="9" borderId="8" xfId="0">
      <alignment vertical="top"/>
    </xf>
    <xf numFmtId="0" fontId="12" fillId="8" borderId="0" xfId="0">
      <alignment horizontal="left" vertical="center"/>
    </xf>
    <xf numFmtId="473" fontId="3" fillId="0" borderId="8" xfId="0">
      <alignment vertical="top"/>
    </xf>
    <xf numFmtId="0" fontId="13" fillId="10" borderId="8" xfId="0">
      <alignment vertical="top"/>
    </xf>
    <xf numFmtId="0" fontId="14" fillId="0" borderId="0" xfId="0">
      <alignment horizontal="center" vertical="center"/>
    </xf>
    <xf numFmtId="0" fontId="15" fillId="0" borderId="0" xfId="0">
      <alignment vertical="top"/>
    </xf>
    <xf numFmtId="0" fontId="10" fillId="8" borderId="0" xfId="0">
      <alignment horizontal="center" vertical="top"/>
    </xf>
    <xf numFmtId="0" fontId="3" fillId="6" borderId="0" xfId="0">
      <alignment vertical="top"/>
    </xf>
    <xf numFmtId="472" fontId="3" fillId="6" borderId="0" xfId="0">
      <alignment vertical="top"/>
    </xf>
    <xf numFmtId="10" fontId="3" fillId="6" borderId="0" xfId="0">
      <alignment vertical="top"/>
    </xf>
    <xf numFmtId="3" fontId="3" fillId="6" borderId="0" xfId="0">
      <alignment vertical="top"/>
    </xf>
    <xf numFmtId="10" fontId="3" fillId="0" borderId="0" xfId="0">
      <alignment vertical="top"/>
    </xf>
    <xf numFmtId="3" fontId="3" fillId="0" borderId="0" xfId="0">
      <alignment vertical="top"/>
    </xf>
    <xf numFmtId="0" fontId="9" fillId="11" borderId="9" xfId="0">
      <alignment vertical="top"/>
    </xf>
    <xf numFmtId="472" fontId="9" fillId="11" borderId="9" xfId="0">
      <alignment vertical="top"/>
    </xf>
    <xf numFmtId="10" fontId="9" fillId="11" borderId="9" xfId="0">
      <alignment vertical="top"/>
    </xf>
    <xf numFmtId="3" fontId="9" fillId="11" borderId="9" xfId="0">
      <alignment vertical="top"/>
    </xf>
    <xf numFmtId="0" fontId="16" fillId="4" borderId="0" xfId="0">
      <alignment horizontal="center" vertical="center"/>
    </xf>
    <xf numFmtId="0" fontId="9" fillId="3" borderId="6" xfId="0">
      <alignment horizontal="center" vertical="top"/>
    </xf>
    <xf numFmtId="0" fontId="3" fillId="3" borderId="6" xfId="0">
      <alignment vertical="top"/>
    </xf>
    <xf numFmtId="0" fontId="12" fillId="4" borderId="0" xfId="0">
      <alignment horizontal="center" vertical="top"/>
    </xf>
    <xf numFmtId="666" fontId="3" fillId="12" borderId="0" xfId="0">
      <alignment vertical="top"/>
    </xf>
    <xf numFmtId="0" fontId="3" fillId="12" borderId="0" xfId="0">
      <alignment vertical="top"/>
    </xf>
    <xf numFmtId="472" fontId="3" fillId="12" borderId="0" xfId="0">
      <alignment vertical="top"/>
    </xf>
    <xf numFmtId="666" fontId="3" fillId="0" borderId="0" xfId="0">
      <alignment vertical="top"/>
    </xf>
    <xf numFmtId="0" fontId="9" fillId="0" borderId="9" xfId="0">
      <alignment vertical="top"/>
    </xf>
    <xf numFmtId="0" fontId="9" fillId="0" borderId="0" xfId="0">
      <alignment vertical="top"/>
    </xf>
    <xf numFmtId="0" fontId="3" fillId="0" borderId="10" xfId="0">
      <alignment vertical="top"/>
    </xf>
    <xf numFmtId="0" fontId="9" fillId="0" borderId="0" xfId="0">
      <alignment horizontal="center" vertical="top"/>
    </xf>
    <xf numFmtId="0" fontId="7" fillId="0" borderId="0" xfId="0">
      <alignment horizontal="center" vertical="top"/>
    </xf>
    <xf numFmtId="0" fontId="3" fillId="0" borderId="0" xfId="0">
      <alignment horizontal="center" vertical="top"/>
    </xf>
    <xf numFmtId="0" fontId="2" fillId="0" borderId="0" xfId="0">
      <alignment horizontal="center" vertical="center"/>
    </xf>
    <xf numFmtId="0" fontId="6" fillId="0" borderId="0" xfId="0">
      <alignment horizontal="center" vertical="top"/>
    </xf>
    <xf numFmtId="0" fontId="10" fillId="4" borderId="0" xfId="0">
      <alignment horizontal="center" vertical="center"/>
    </xf>
    <xf numFmtId="730" fontId="3" fillId="0" borderId="0" xfId="0">
      <alignment vertical="top"/>
    </xf>
    <xf numFmtId="666" fontId="3" fillId="6" borderId="0" xfId="0">
      <alignment vertical="top"/>
    </xf>
    <xf numFmtId="730" fontId="3" fillId="6" borderId="0" xfId="0">
      <alignment vertical="top"/>
    </xf>
    <xf numFmtId="0" fontId="17" fillId="0" borderId="0" xfId="0">
      <alignment horizontal="center" vertical="top"/>
    </xf>
    <xf numFmtId="0" fontId="18" fillId="0" borderId="0" xfId="0">
      <alignment horizontal="center" vertical="top"/>
    </xf>
    <xf numFmtId="0" fontId="11" fillId="4" borderId="0" xfId="0">
      <alignment horizontal="center" vertical="center"/>
    </xf>
    <xf numFmtId="0" fontId="17" fillId="0" borderId="0" xfId="0">
      <alignment horizontal="center" vertical="center"/>
    </xf>
    <xf numFmtId="0" fontId="10" fillId="4" borderId="11" xfId="0">
      <alignment horizontal="center" vertical="center"/>
    </xf>
    <xf numFmtId="0" fontId="3" fillId="0" borderId="11" xfId="0">
      <alignment vertical="top"/>
    </xf>
    <xf numFmtId="472" fontId="3" fillId="0" borderId="11" xfId="0">
      <alignment vertical="top"/>
    </xf>
    <xf numFmtId="479" fontId="3" fillId="0" borderId="11" xfId="0">
      <alignment vertical="top"/>
    </xf>
    <xf numFmtId="0" fontId="3" fillId="6" borderId="11" xfId="0">
      <alignment vertical="top"/>
    </xf>
    <xf numFmtId="479" fontId="3" fillId="6" borderId="11" xfId="0">
      <alignment vertical="top"/>
    </xf>
    <xf numFmtId="472" fontId="3" fillId="6" borderId="11" xfId="0">
      <alignment vertical="top"/>
    </xf>
    <xf numFmtId="0" fontId="17" fillId="0" borderId="0" xfId="0">
      <alignment horizontal="left" vertical="top"/>
    </xf>
  </cellXfs>
  <cellStyles count="1">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styles" Target="styles.xml"/><Relationship Id="rId11" Type="http://schemas.openxmlformats.org/officeDocument/2006/relationships/theme" Target="theme/theme1.xml"/><Relationship Id="rId1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microsoft.com/office/2011/relationships/chartStyle" Target="style1.xml"/><Relationship Id="rId2" Type="http://schemas.microsoft.com/office/2011/relationships/chartColorStyle" Target="colors1.xml"/></Relationships>
</file>

<file path=xl/charts/_rels/chart2.xml.rels><?xml version="1.0" encoding="UTF-8" standalone="yes"?>
<Relationships xmlns="http://schemas.openxmlformats.org/package/2006/relationships"><Relationship Id="rId1" Type="http://schemas.microsoft.com/office/2011/relationships/chartStyle" Target="style2.xml"/><Relationship Id="rId2" Type="http://schemas.microsoft.com/office/2011/relationships/chartColorStyle" Target="colors2.xml"/></Relationships>
</file>

<file path=xl/charts/_rels/chart3.xml.rels><?xml version="1.0" encoding="UTF-8" standalone="yes"?>
<Relationships xmlns="http://schemas.openxmlformats.org/package/2006/relationships"><Relationship Id="rId1" Type="http://schemas.microsoft.com/office/2011/relationships/chartStyle" Target="style3.xml"/><Relationship Id="rId2" Type="http://schemas.microsoft.com/office/2011/relationships/chartColorStyle" Target="colors3.xml"/></Relationships>
</file>

<file path=xl/charts/chart1.xml><?xml version="1.0" encoding="utf-8"?>
<c:chartSpace xmlns:a="http://schemas.openxmlformats.org/drawingml/2006/main" xmlns:r="http://schemas.openxmlformats.org/officeDocument/2006/relationships" xmlns:c="http://schemas.openxmlformats.org/drawingml/2006/chart" xmlns:c16r2="http://schemas.microsoft.com/office/drawing/2015/06/chart">
  <c:roundedCorners val="0"/>
  <c:chart>
    <c:title>
      <c:tx>
        <c:rich>
          <a:bodyPr/>
          <a:p>
            <a:pPr>
              <a:defRPr sz="1050" b="0">
                <a:solidFill>
                  <a:srgbClr val="333333"/>
                </a:solidFill>
                <a:latin typeface="Arial"/>
              </a:defRPr>
            </a:pPr>
            <a:r>
              <a:rPr sz="1050" b="0">
                <a:solidFill>
                  <a:srgbClr val="333333"/>
                </a:solidFill>
                <a:latin typeface="Arial"/>
              </a:rPr>
              <a:t>Spend by Category</a:t>
            </a:r>
            <a:endParaRPr/>
          </a:p>
        </c:rich>
      </c:tx>
      <c:overlay val="0"/>
      <c:spPr>
        <a:noFill/>
        <a:ln>
          <a:noFill/>
        </a:ln>
      </c:spPr>
    </c:title>
    <c:autoTitleDeleted val="0"/>
    <c:plotArea>
      <c:pieChart chartType="10">
        <c:ser seriesType="3">
          <c:dPt>
            <c:idx val="0"/>
            <c:invertIfNegative val="0"/>
            <c:spPr>
              <a:solidFill>
                <a:schemeClr val="accent1"/>
              </a:solidFill>
              <a:ln w="19050">
                <a:solidFill>
                  <a:srgbClr val="ffffff"/>
                </a:solidFill>
                <a:prstDash val="solid"/>
              </a:ln>
            </c:spPr>
            <c:marker>
              <c:spPr/>
              <c:size val="5"/>
              <c:symbol val="none"/>
            </c:marker>
          </c:dPt>
          <c:dPt>
            <c:idx val="1"/>
            <c:invertIfNegative val="0"/>
            <c:spPr>
              <a:solidFill>
                <a:schemeClr val="accent2"/>
              </a:solidFill>
              <a:ln w="19050">
                <a:solidFill>
                  <a:srgbClr val="ffffff"/>
                </a:solidFill>
                <a:prstDash val="solid"/>
              </a:ln>
            </c:spPr>
            <c:marker>
              <c:spPr/>
              <c:size val="5"/>
              <c:symbol val="none"/>
            </c:marker>
          </c:dPt>
          <c:dPt>
            <c:idx val="2"/>
            <c:invertIfNegative val="0"/>
            <c:spPr>
              <a:solidFill>
                <a:schemeClr val="accent3"/>
              </a:solidFill>
              <a:ln w="19050">
                <a:solidFill>
                  <a:srgbClr val="ffffff"/>
                </a:solidFill>
                <a:prstDash val="solid"/>
              </a:ln>
            </c:spPr>
            <c:marker>
              <c:spPr/>
              <c:size val="5"/>
              <c:symbol val="none"/>
            </c:marker>
          </c:dPt>
          <c:dPt>
            <c:idx val="3"/>
            <c:invertIfNegative val="0"/>
            <c:spPr>
              <a:solidFill>
                <a:schemeClr val="accent4"/>
              </a:solidFill>
              <a:ln w="19050">
                <a:solidFill>
                  <a:srgbClr val="ffffff"/>
                </a:solidFill>
                <a:prstDash val="solid"/>
              </a:ln>
            </c:spPr>
            <c:marker>
              <c:spPr/>
              <c:size val="5"/>
              <c:symbol val="none"/>
            </c:marker>
          </c:dPt>
          <c:dPt>
            <c:idx val="4"/>
            <c:invertIfNegative val="0"/>
            <c:spPr>
              <a:solidFill>
                <a:schemeClr val="accent5"/>
              </a:solidFill>
              <a:ln w="19050">
                <a:solidFill>
                  <a:srgbClr val="ffffff"/>
                </a:solidFill>
                <a:prstDash val="solid"/>
              </a:ln>
            </c:spPr>
            <c:marker>
              <c:spPr/>
              <c:size val="5"/>
              <c:symbol val="none"/>
            </c:marker>
          </c:dPt>
          <c:dPt>
            <c:idx val="5"/>
            <c:invertIfNegative val="0"/>
            <c:spPr>
              <a:solidFill>
                <a:schemeClr val="accent6"/>
              </a:solidFill>
              <a:ln w="19050">
                <a:solidFill>
                  <a:srgbClr val="ffffff"/>
                </a:solidFill>
                <a:prstDash val="solid"/>
              </a:ln>
            </c:spPr>
            <c:marker>
              <c:spPr/>
              <c:size val="5"/>
              <c:symbol val="none"/>
            </c:marker>
          </c:dPt>
          <c:dPt>
            <c:idx val="6"/>
            <c:invertIfNegative val="0"/>
            <c:spPr>
              <a:solidFill>
                <a:schemeClr val="accent1">
                  <a:lumMod val="60000"/>
                </a:schemeClr>
              </a:solidFill>
              <a:ln w="19050">
                <a:solidFill>
                  <a:srgbClr val="ffffff"/>
                </a:solidFill>
                <a:prstDash val="solid"/>
              </a:ln>
            </c:spPr>
            <c:marker>
              <c:spPr/>
              <c:size val="5"/>
              <c:symbol val="none"/>
            </c:marker>
          </c:dPt>
          <c:dPt>
            <c:idx val="7"/>
            <c:invertIfNegative val="0"/>
            <c:spPr>
              <a:solidFill>
                <a:schemeClr val="accent2">
                  <a:lumMod val="60000"/>
                </a:schemeClr>
              </a:solidFill>
              <a:ln w="19050">
                <a:solidFill>
                  <a:srgbClr val="ffffff"/>
                </a:solidFill>
                <a:prstDash val="solid"/>
              </a:ln>
            </c:spPr>
            <c:marker>
              <c:spPr/>
              <c:size val="5"/>
              <c:symbol val="none"/>
            </c:marker>
          </c:dPt>
          <c:idx val="0"/>
          <c:order val="0"/>
          <c:tx>
            <c:strRef>
              <c:f>MonthlySummary!$B$4</c:f>
            </c:strRef>
          </c:tx>
          <c:spPr>
            <a:ln w="19050">
              <a:solidFill>
                <a:srgbClr val="ffffff"/>
              </a:solidFill>
            </a:ln>
          </c:spPr>
          <c:cat>
            <c:strRef>
              <c:f>MonthlySummary!$A$5:$A$12</c:f>
            </c:strRef>
          </c:cat>
          <c:val>
            <c:numRef>
              <c:f>MonthlySummary!$B$5:$B$12</c:f>
              <c:numCache>
                <c:formatCode>$#,##0.00</c:formatCode>
              </c:numCache>
            </c:numRef>
          </c:val>
          <c:dLbls>
            <c:spPr>
              <a:noFill/>
              <a:ln>
                <a:noFill/>
              </a:ln>
            </c:spPr>
            <c:dLblPos val="outEnd"/>
            <c:showLeaderLines val="1"/>
            <c:showBubbleSize val="0"/>
            <c:showLegendKey val="0"/>
            <c:showPercent val="1"/>
            <c:showCatName val="0"/>
            <c:showSerName val="0"/>
            <c:showVal val="0"/>
            <c:separator>, </c:separator>
            <c:extLst>
              <c:ext xmlns:c15="http://schemas.microsoft.com/office/drawing/2012/chart" uri="{CE6537A1-D6FC-4f65-9D91-7224C49458BB}">
                <c15:showLeaderLines val="1"/>
              </c:ext>
            </c:extLst>
            <c:leaderLines>
              <c:spPr>
                <a:ln w="9525">
                  <a:solidFill>
                    <a:schemeClr val="tx1">
                      <a:lumMod val="35000"/>
                      <a:lumOff val="65000"/>
                    </a:schemeClr>
                  </a:solidFill>
                </a:ln>
              </c:spPr>
            </c:leaderLines>
          </c:dLbls>
          <c:extLst/>
          <c:explosion val="0"/>
        </c:ser>
        <c:varyColors val="1"/>
        <c:firstSliceAng val="0"/>
      </c:pieChart>
      <c:spPr>
        <a:noFill/>
        <a:ln>
          <a:noFill/>
        </a:ln>
      </c:spPr>
    </c:plotArea>
    <c:legend>
      <c:legendPos val="r"/>
      <c:overlay val="0"/>
      <c:spPr>
        <a:noFill/>
        <a:ln>
          <a:noFill/>
        </a:ln>
      </c:spPr>
      <c:txPr>
        <a:bodyPr/>
        <a:p>
          <a:pPr>
            <a:defRPr sz="750" b="0">
              <a:solidFill>
                <a:schemeClr val="tx1">
                  <a:lumMod val="65000"/>
                  <a:lumOff val="35000"/>
                </a:schemeClr>
              </a:solidFill>
              <a:latin typeface="Arial"/>
            </a:defRPr>
          </a:pPr>
          <a:r>
            <a:rPr sz="750" b="0">
              <a:solidFill>
                <a:schemeClr val="tx1">
                  <a:lumMod val="65000"/>
                  <a:lumOff val="35000"/>
                </a:schemeClr>
              </a:solidFill>
              <a:latin typeface="Arial"/>
            </a:rPr>
            <a:t/>
          </a:r>
          <a:endParaRPr/>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mc:AlternateContent xmlns:mc="http://schemas.openxmlformats.org/markup-compatibility/2006">
    <mc:Choice xmlns:c14="http://schemas.microsoft.com/office/drawing/2007/8/2/chart" Requires="c14">
      <c14:style val="102"/>
    </mc:Choice>
    <mc:Fallback>
      <c:style val="4"/>
    </mc:Fallback>
  </mc:AlternateContent>
  <c:spPr>
    <a:solidFill>
      <a:schemeClr val="bg1"/>
    </a:solidFill>
    <a:ln w="9525">
      <a:solidFill>
        <a:schemeClr val="tx1">
          <a:lumMod val="15000"/>
          <a:lumOff val="85000"/>
        </a:schemeClr>
      </a:solidFill>
    </a:ln>
  </c:spPr>
  <c:txPr>
    <a:bodyPr/>
    <a:p>
      <a:pPr>
        <a:defRPr b="0">
          <a:solidFill>
            <a:schemeClr val="tx1">
              <a:lumMod val="65000"/>
              <a:lumOff val="35000"/>
            </a:schemeClr>
          </a:solidFill>
          <a:latin typeface="+mn-lt"/>
        </a:defRPr>
      </a:pPr>
      <a:r>
        <a:rPr b="0">
          <a:solidFill>
            <a:schemeClr val="tx1">
              <a:lumMod val="65000"/>
              <a:lumOff val="35000"/>
            </a:schemeClr>
          </a:solidFill>
          <a:latin typeface="+mn-lt"/>
        </a:rPr>
        <a:t/>
      </a:r>
      <a:endParaRPr/>
    </a:p>
  </c:txPr>
</c:chartSpace>
</file>

<file path=xl/charts/chart2.xml><?xml version="1.0" encoding="utf-8"?>
<c:chartSpace xmlns:a="http://schemas.openxmlformats.org/drawingml/2006/main" xmlns:r="http://schemas.openxmlformats.org/officeDocument/2006/relationships" xmlns:c="http://schemas.openxmlformats.org/drawingml/2006/chart" xmlns:c16r2="http://schemas.microsoft.com/office/drawing/2015/06/chart">
  <c:roundedCorners val="0"/>
  <c:chart>
    <c:title>
      <c:tx>
        <c:rich>
          <a:bodyPr/>
          <a:p>
            <a:pPr>
              <a:defRPr sz="1050" b="0">
                <a:solidFill>
                  <a:srgbClr val="333333"/>
                </a:solidFill>
                <a:latin typeface="Arial"/>
              </a:defRPr>
            </a:pPr>
            <a:r>
              <a:rPr sz="1050" b="0">
                <a:solidFill>
                  <a:srgbClr val="333333"/>
                </a:solidFill>
                <a:latin typeface="Arial"/>
              </a:rPr>
              <a:t>Top 10 Merchants</a:t>
            </a:r>
            <a:endParaRPr/>
          </a:p>
        </c:rich>
      </c:tx>
      <c:overlay val="0"/>
      <c:spPr>
        <a:noFill/>
        <a:ln>
          <a:noFill/>
        </a:ln>
      </c:spPr>
    </c:title>
    <c:autoTitleDeleted val="0"/>
    <c:plotArea>
      <c:barChart chartType="6">
        <c:ser seriesType="0">
          <c:idx val="0"/>
          <c:order val="0"/>
          <c:tx>
            <c:strRef>
              <c:f>MonthlySummary!$E$5</c:f>
            </c:strRef>
          </c:tx>
          <c:spPr>
            <a:solidFill>
              <a:schemeClr val="accent1"/>
            </a:solidFill>
          </c:spPr>
          <c:cat>
            <c:strRef>
              <c:f>MonthlySummary!$F$4</c:f>
            </c:strRef>
          </c:cat>
          <c:val>
            <c:numRef>
              <c:f>MonthlySummary!$F$5</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1"/>
          <c:order val="1"/>
          <c:tx>
            <c:strRef>
              <c:f>MonthlySummary!$E$6</c:f>
            </c:strRef>
          </c:tx>
          <c:spPr>
            <a:solidFill>
              <a:schemeClr val="accent2"/>
            </a:solidFill>
          </c:spPr>
          <c:cat>
            <c:strRef>
              <c:f>MonthlySummary!$F$4</c:f>
            </c:strRef>
          </c:cat>
          <c:val>
            <c:numRef>
              <c:f>MonthlySummary!$F$6</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2"/>
          <c:order val="2"/>
          <c:tx>
            <c:strRef>
              <c:f>MonthlySummary!$E$7</c:f>
            </c:strRef>
          </c:tx>
          <c:spPr>
            <a:solidFill>
              <a:schemeClr val="accent3"/>
            </a:solidFill>
          </c:spPr>
          <c:cat>
            <c:strRef>
              <c:f>MonthlySummary!$F$4</c:f>
            </c:strRef>
          </c:cat>
          <c:val>
            <c:numRef>
              <c:f>MonthlySummary!$F$7</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3"/>
          <c:order val="3"/>
          <c:tx>
            <c:strRef>
              <c:f>MonthlySummary!$E$8</c:f>
            </c:strRef>
          </c:tx>
          <c:spPr>
            <a:solidFill>
              <a:schemeClr val="accent4"/>
            </a:solidFill>
          </c:spPr>
          <c:cat>
            <c:strRef>
              <c:f>MonthlySummary!$F$4</c:f>
            </c:strRef>
          </c:cat>
          <c:val>
            <c:numRef>
              <c:f>MonthlySummary!$F$8</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4"/>
          <c:order val="4"/>
          <c:tx>
            <c:strRef>
              <c:f>MonthlySummary!$E$9</c:f>
            </c:strRef>
          </c:tx>
          <c:spPr>
            <a:solidFill>
              <a:schemeClr val="accent5"/>
            </a:solidFill>
          </c:spPr>
          <c:cat>
            <c:strRef>
              <c:f>MonthlySummary!$F$4</c:f>
            </c:strRef>
          </c:cat>
          <c:val>
            <c:numRef>
              <c:f>MonthlySummary!$F$9</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5"/>
          <c:order val="5"/>
          <c:tx>
            <c:strRef>
              <c:f>MonthlySummary!$E$10</c:f>
            </c:strRef>
          </c:tx>
          <c:spPr>
            <a:solidFill>
              <a:schemeClr val="accent6"/>
            </a:solidFill>
          </c:spPr>
          <c:cat>
            <c:strRef>
              <c:f>MonthlySummary!$F$4</c:f>
            </c:strRef>
          </c:cat>
          <c:val>
            <c:numRef>
              <c:f>MonthlySummary!$F$10</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6"/>
          <c:order val="6"/>
          <c:tx>
            <c:strRef>
              <c:f>MonthlySummary!$E$11</c:f>
            </c:strRef>
          </c:tx>
          <c:spPr>
            <a:solidFill>
              <a:schemeClr val="accent1">
                <a:lumMod val="60000"/>
              </a:schemeClr>
            </a:solidFill>
          </c:spPr>
          <c:cat>
            <c:strRef>
              <c:f>MonthlySummary!$F$4</c:f>
            </c:strRef>
          </c:cat>
          <c:val>
            <c:numRef>
              <c:f>MonthlySummary!$F$11</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7"/>
          <c:order val="7"/>
          <c:tx>
            <c:strRef>
              <c:f>MonthlySummary!$E$12</c:f>
            </c:strRef>
          </c:tx>
          <c:spPr>
            <a:solidFill>
              <a:schemeClr val="accent2">
                <a:lumMod val="60000"/>
              </a:schemeClr>
            </a:solidFill>
          </c:spPr>
          <c:cat>
            <c:strRef>
              <c:f>MonthlySummary!$F$4</c:f>
            </c:strRef>
          </c:cat>
          <c:val>
            <c:numRef>
              <c:f>MonthlySummary!$F$12</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8"/>
          <c:order val="8"/>
          <c:tx>
            <c:strRef>
              <c:f>MonthlySummary!$E$13</c:f>
            </c:strRef>
          </c:tx>
          <c:spPr>
            <a:solidFill>
              <a:schemeClr val="accent3">
                <a:lumMod val="60000"/>
              </a:schemeClr>
            </a:solidFill>
          </c:spPr>
          <c:cat>
            <c:strRef>
              <c:f>MonthlySummary!$F$4</c:f>
            </c:strRef>
          </c:cat>
          <c:val>
            <c:numRef>
              <c:f>MonthlySummary!$F$13</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9"/>
          <c:order val="9"/>
          <c:tx>
            <c:strRef>
              <c:f>MonthlySummary!$E$14</c:f>
            </c:strRef>
          </c:tx>
          <c:spPr>
            <a:solidFill>
              <a:schemeClr val="accent4">
                <a:lumMod val="60000"/>
              </a:schemeClr>
            </a:solidFill>
          </c:spPr>
          <c:cat>
            <c:strRef>
              <c:f>MonthlySummary!$F$4</c:f>
            </c:strRef>
          </c:cat>
          <c:val>
            <c:numRef>
              <c:f>MonthlySummary!$F$14</c:f>
              <c:numCache>
                <c:formatCode>$#,##0.00</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axId val="14075503"/>
        <c:axId val="92146215"/>
        <c:barDir val="bar"/>
        <c:grouping val="clustered"/>
        <c:gapWidth val="182"/>
        <c:varyColors val="0"/>
        <c:overlap val="0"/>
      </c:barChart>
      <c:catAx axisType="0">
        <c:axId val="14075503"/>
        <c:delete val="0"/>
        <c:majorTickMark val="none"/>
        <c:minorTickMark val="none"/>
        <c:tickLblPos val="nextTo"/>
        <c:axPos val="l"/>
        <c:scaling>
          <c:orientation val="minMax"/>
        </c:scaling>
        <c:spPr>
          <a:ln w="9525">
            <a:solidFill>
              <a:schemeClr val="tx1">
                <a:lumMod val="15000"/>
                <a:lumOff val="85000"/>
              </a:schemeClr>
            </a:solidFill>
          </a:ln>
        </c:spPr>
        <c:numFmt formatCode="General"/>
        <c:txPr>
          <a:bodyPr/>
          <a:p>
            <a:pPr>
              <a:defRPr sz="900" b="0">
                <a:solidFill>
                  <a:schemeClr val="tx1">
                    <a:lumMod val="65000"/>
                    <a:lumOff val="35000"/>
                  </a:schemeClr>
                </a:solidFill>
                <a:latin typeface="+mn-lt"/>
              </a:defRPr>
            </a:pPr>
            <a:r>
              <a:rPr sz="900" b="0">
                <a:solidFill>
                  <a:schemeClr val="tx1">
                    <a:lumMod val="65000"/>
                    <a:lumOff val="35000"/>
                  </a:schemeClr>
                </a:solidFill>
                <a:latin typeface="+mn-lt"/>
              </a:rPr>
              <a:t/>
            </a:r>
            <a:endParaRPr/>
          </a:p>
        </c:txPr>
        <c:auto val="1"/>
        <c:lblOffset val="0"/>
        <c:tickMarkSkip val="1"/>
        <c:noMultiLvlLbl val="1"/>
        <c:crosses val="autoZero"/>
        <c:crossAx val="92146215"/>
      </c:catAx>
      <c:valAx axisType="3">
        <c:axId val="92146215"/>
        <c:delete val="0"/>
        <c:majorTickMark val="none"/>
        <c:minorTickMark val="none"/>
        <c:tickLblPos val="nextTo"/>
        <c:axPos val="l"/>
        <c:scaling>
          <c:orientation val="minMax"/>
        </c:scaling>
        <c:spPr>
          <a:ln w="9525">
            <a:solidFill>
              <a:schemeClr val="tx1">
                <a:lumMod val="15000"/>
                <a:lumOff val="85000"/>
              </a:schemeClr>
            </a:solidFill>
          </a:ln>
        </c:spPr>
        <c:numFmt formatCode="$#,##0.00"/>
        <c:txPr>
          <a:bodyPr/>
          <a:p>
            <a:pPr>
              <a:defRPr sz="900" b="0">
                <a:solidFill>
                  <a:schemeClr val="tx1">
                    <a:lumMod val="65000"/>
                    <a:lumOff val="35000"/>
                  </a:schemeClr>
                </a:solidFill>
                <a:latin typeface="+mn-lt"/>
              </a:defRPr>
            </a:pPr>
            <a:r>
              <a:rPr sz="900" b="0">
                <a:solidFill>
                  <a:schemeClr val="tx1">
                    <a:lumMod val="65000"/>
                    <a:lumOff val="35000"/>
                  </a:schemeClr>
                </a:solidFill>
                <a:latin typeface="+mn-lt"/>
              </a:rPr>
              <a:t/>
            </a:r>
            <a:endParaRPr/>
          </a:p>
        </c:txPr>
        <c:majorGridlines>
          <c:spPr>
            <a:ln w="9525">
              <a:solidFill>
                <a:srgbClr val="d9d9d9"/>
              </a:solidFill>
            </a:ln>
          </c:spPr>
        </c:majorGridlines>
        <c:crosses val="autoZero"/>
        <c:crossBetween val="between"/>
        <c:crossAx val="14075503"/>
      </c:valAx>
      <c:spPr>
        <a:noFill/>
        <a:ln>
          <a:noFill/>
        </a:ln>
      </c:spPr>
    </c:plotArea>
    <c:legend>
      <c:legendPos val="r"/>
      <c:overlay val="0"/>
      <c:spPr>
        <a:noFill/>
        <a:ln>
          <a:noFill/>
        </a:ln>
      </c:spPr>
      <c:txPr>
        <a:bodyPr/>
        <a:p>
          <a:pPr>
            <a:defRPr sz="750" b="0">
              <a:solidFill>
                <a:schemeClr val="tx1">
                  <a:lumMod val="65000"/>
                  <a:lumOff val="35000"/>
                </a:schemeClr>
              </a:solidFill>
              <a:latin typeface="Arial"/>
            </a:defRPr>
          </a:pPr>
          <a:r>
            <a:rPr sz="750" b="0">
              <a:solidFill>
                <a:schemeClr val="tx1">
                  <a:lumMod val="65000"/>
                  <a:lumOff val="35000"/>
                </a:schemeClr>
              </a:solidFill>
              <a:latin typeface="Arial"/>
            </a:rPr>
            <a:t/>
          </a:r>
          <a:endParaRPr/>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mc:AlternateContent xmlns:mc="http://schemas.openxmlformats.org/markup-compatibility/2006">
    <mc:Choice xmlns:c14="http://schemas.microsoft.com/office/drawing/2007/8/2/chart" Requires="c14">
      <c14:style val="102"/>
    </mc:Choice>
    <mc:Fallback>
      <c:style val="4"/>
    </mc:Fallback>
  </mc:AlternateContent>
  <c:spPr>
    <a:solidFill>
      <a:schemeClr val="bg1"/>
    </a:solidFill>
    <a:ln w="9525">
      <a:solidFill>
        <a:schemeClr val="tx1">
          <a:lumMod val="15000"/>
          <a:lumOff val="85000"/>
        </a:schemeClr>
      </a:solidFill>
    </a:ln>
  </c:spPr>
  <c:txPr>
    <a:bodyPr/>
    <a:p>
      <a:pPr>
        <a:defRPr b="0">
          <a:solidFill>
            <a:schemeClr val="tx1">
              <a:lumMod val="65000"/>
              <a:lumOff val="35000"/>
            </a:schemeClr>
          </a:solidFill>
          <a:latin typeface="+mn-lt"/>
        </a:defRPr>
      </a:pPr>
      <a:r>
        <a:rPr b="0">
          <a:solidFill>
            <a:schemeClr val="tx1">
              <a:lumMod val="65000"/>
              <a:lumOff val="35000"/>
            </a:schemeClr>
          </a:solidFill>
          <a:latin typeface="+mn-lt"/>
        </a:rPr>
        <a:t/>
      </a:r>
      <a:endParaRPr/>
    </a:p>
  </c:txPr>
</c:chartSpace>
</file>

<file path=xl/charts/chart3.xml><?xml version="1.0" encoding="utf-8"?>
<c:chartSpace xmlns:a="http://schemas.openxmlformats.org/drawingml/2006/main" xmlns:r="http://schemas.openxmlformats.org/officeDocument/2006/relationships" xmlns:c="http://schemas.openxmlformats.org/drawingml/2006/chart" xmlns:c16r2="http://schemas.microsoft.com/office/drawing/2015/06/chart">
  <c:roundedCorners val="0"/>
  <c:chart>
    <c:title>
      <c:tx>
        <c:rich>
          <a:bodyPr/>
          <a:p>
            <a:pPr>
              <a:defRPr sz="1050" b="0">
                <a:solidFill>
                  <a:srgbClr val="333333"/>
                </a:solidFill>
                <a:latin typeface="Arial"/>
              </a:defRPr>
            </a:pPr>
            <a:r>
              <a:rPr sz="1050" b="0">
                <a:solidFill>
                  <a:srgbClr val="333333"/>
                </a:solidFill>
                <a:latin typeface="Arial"/>
              </a:rPr>
              <a:t>Reconciliation Status</a:t>
            </a:r>
            <a:endParaRPr/>
          </a:p>
        </c:rich>
      </c:tx>
      <c:overlay val="0"/>
      <c:spPr>
        <a:noFill/>
        <a:ln>
          <a:noFill/>
        </a:ln>
      </c:spPr>
    </c:title>
    <c:autoTitleDeleted val="0"/>
    <c:plotArea>
      <c:barChart chartType="6">
        <c:ser seriesType="0">
          <c:idx val="0"/>
          <c:order val="0"/>
          <c:tx>
            <c:strRef>
              <c:f>MonthlySummary!$E$18</c:f>
            </c:strRef>
          </c:tx>
          <c:spPr>
            <a:solidFill>
              <a:schemeClr val="accent1"/>
            </a:solidFill>
          </c:spPr>
          <c:cat>
            <c:strRef>
              <c:f>MonthlySummary!$F$17:$G$17</c:f>
            </c:strRef>
          </c:cat>
          <c:val>
            <c:numRef>
              <c:f>MonthlySummary!$F$18:$G$18</c:f>
              <c:numCache>
                <c:formatCode>General</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ser seriesType="0">
          <c:idx val="1"/>
          <c:order val="1"/>
          <c:tx>
            <c:strRef>
              <c:f>MonthlySummary!$E$19</c:f>
            </c:strRef>
          </c:tx>
          <c:spPr>
            <a:solidFill>
              <a:schemeClr val="accent2"/>
            </a:solidFill>
          </c:spPr>
          <c:cat>
            <c:strRef>
              <c:f>MonthlySummary!$F$17:$G$17</c:f>
            </c:strRef>
          </c:cat>
          <c:val>
            <c:numRef>
              <c:f>MonthlySummary!$F$19:$G$19</c:f>
              <c:numCache>
                <c:formatCode>General</c:formatCode>
              </c:numCache>
            </c:numRef>
          </c:val>
          <c:dLbls>
            <c:spPr>
              <a:noFill/>
              <a:ln>
                <a:noFill/>
              </a:ln>
            </c:spPr>
            <c:dLblPos val="outEnd"/>
            <c:showLeaderLines val="0"/>
            <c:showBubbleSize val="0"/>
            <c:showLegendKey val="0"/>
            <c:showPercent val="0"/>
            <c:showCatName val="0"/>
            <c:showSerName val="0"/>
            <c:showVal val="1"/>
            <c:separator>, </c:separator>
            <c:extLst>
              <c:ext xmlns:c15="http://schemas.microsoft.com/office/drawing/2012/chart" uri="{CE6537A1-D6FC-4f65-9D91-7224C49458BB}">
                <c15:showLeaderLines val="0"/>
              </c:ext>
            </c:extLst>
          </c:dLbls>
          <c:extLst/>
          <c:invertIfNegative val="0"/>
        </c:ser>
        <c:axId val="26123775"/>
        <c:axId val="86283677"/>
        <c:barDir val="col"/>
        <c:grouping val="clustered"/>
        <c:gapWidth val="150"/>
        <c:varyColors val="0"/>
        <c:overlap val="-27"/>
      </c:barChart>
      <c:catAx axisType="0">
        <c:axId val="26123775"/>
        <c:delete val="0"/>
        <c:majorTickMark val="none"/>
        <c:minorTickMark val="none"/>
        <c:tickLblPos val="nextTo"/>
        <c:axPos val="b"/>
        <c:scaling>
          <c:orientation val="minMax"/>
        </c:scaling>
        <c:spPr>
          <a:ln w="9525">
            <a:solidFill>
              <a:schemeClr val="tx1">
                <a:lumMod val="15000"/>
                <a:lumOff val="85000"/>
              </a:schemeClr>
            </a:solidFill>
          </a:ln>
        </c:spPr>
        <c:numFmt formatCode="General"/>
        <c:txPr>
          <a:bodyPr/>
          <a:p>
            <a:pPr>
              <a:defRPr sz="900" b="0">
                <a:solidFill>
                  <a:schemeClr val="tx1">
                    <a:lumMod val="65000"/>
                    <a:lumOff val="35000"/>
                  </a:schemeClr>
                </a:solidFill>
                <a:latin typeface="+mn-lt"/>
              </a:defRPr>
            </a:pPr>
            <a:r>
              <a:rPr sz="900" b="0">
                <a:solidFill>
                  <a:schemeClr val="tx1">
                    <a:lumMod val="65000"/>
                    <a:lumOff val="35000"/>
                  </a:schemeClr>
                </a:solidFill>
                <a:latin typeface="+mn-lt"/>
              </a:rPr>
              <a:t/>
            </a:r>
            <a:endParaRPr/>
          </a:p>
        </c:txPr>
        <c:auto val="1"/>
        <c:lblOffset val="0"/>
        <c:tickMarkSkip val="1"/>
        <c:noMultiLvlLbl val="1"/>
        <c:crosses val="autoZero"/>
        <c:crossAx val="86283677"/>
      </c:catAx>
      <c:valAx axisType="3">
        <c:axId val="86283677"/>
        <c:delete val="0"/>
        <c:majorTickMark val="none"/>
        <c:minorTickMark val="none"/>
        <c:tickLblPos val="nextTo"/>
        <c:axPos val="l"/>
        <c:scaling>
          <c:orientation val="minMax"/>
        </c:scaling>
        <c:spPr>
          <a:ln w="9525">
            <a:solidFill>
              <a:schemeClr val="tx1">
                <a:lumMod val="15000"/>
                <a:lumOff val="85000"/>
              </a:schemeClr>
            </a:solidFill>
          </a:ln>
        </c:spPr>
        <c:numFmt formatCode="#,##0"/>
        <c:txPr>
          <a:bodyPr/>
          <a:p>
            <a:pPr>
              <a:defRPr sz="900" b="0">
                <a:solidFill>
                  <a:schemeClr val="tx1">
                    <a:lumMod val="65000"/>
                    <a:lumOff val="35000"/>
                  </a:schemeClr>
                </a:solidFill>
                <a:latin typeface="+mn-lt"/>
              </a:defRPr>
            </a:pPr>
            <a:r>
              <a:rPr sz="900" b="0">
                <a:solidFill>
                  <a:schemeClr val="tx1">
                    <a:lumMod val="65000"/>
                    <a:lumOff val="35000"/>
                  </a:schemeClr>
                </a:solidFill>
                <a:latin typeface="+mn-lt"/>
              </a:rPr>
              <a:t/>
            </a:r>
            <a:endParaRPr/>
          </a:p>
        </c:txPr>
        <c:majorGridlines>
          <c:spPr>
            <a:ln w="9525">
              <a:solidFill>
                <a:srgbClr val="d9d9d9"/>
              </a:solidFill>
            </a:ln>
          </c:spPr>
        </c:majorGridlines>
        <c:crosses val="autoZero"/>
        <c:crossBetween val="between"/>
        <c:crossAx val="26123775"/>
      </c:valAx>
      <c:spPr>
        <a:noFill/>
        <a:ln>
          <a:noFill/>
        </a:ln>
      </c:spPr>
    </c:plotArea>
    <c:legend>
      <c:legendPos val="r"/>
      <c:overlay val="0"/>
      <c:spPr>
        <a:noFill/>
        <a:ln>
          <a:noFill/>
        </a:ln>
      </c:spPr>
      <c:txPr>
        <a:bodyPr/>
        <a:p>
          <a:pPr>
            <a:defRPr sz="750" b="0">
              <a:solidFill>
                <a:schemeClr val="tx1">
                  <a:lumMod val="65000"/>
                  <a:lumOff val="35000"/>
                </a:schemeClr>
              </a:solidFill>
              <a:latin typeface="Arial"/>
            </a:defRPr>
          </a:pPr>
          <a:r>
            <a:rPr sz="750" b="0">
              <a:solidFill>
                <a:schemeClr val="tx1">
                  <a:lumMod val="65000"/>
                  <a:lumOff val="35000"/>
                </a:schemeClr>
              </a:solidFill>
              <a:latin typeface="Arial"/>
            </a:rPr>
            <a:t/>
          </a:r>
          <a:endParaRPr/>
        </a:p>
      </c:txPr>
    </c:legend>
    <c:plotVisOnly val="1"/>
    <c:dispBlanksAs val="gap"/>
    <c:showDLblsOverMax val="0"/>
    <c:extLst>
      <c:ext xmlns:c16r3="http://schemas.microsoft.com/office/drawing/2017/03/chart" uri="{56B9EC1D-385E-4148-901F-78D8002777C0}">
        <c16r3:dataDisplayOptions16>
          <c16r3:dispNaAsBlank val="0"/>
        </c16r3:dataDisplayOptions16>
      </c:ext>
    </c:extLst>
  </c:chart>
  <mc:AlternateContent xmlns:mc="http://schemas.openxmlformats.org/markup-compatibility/2006">
    <mc:Choice xmlns:c14="http://schemas.microsoft.com/office/drawing/2007/8/2/chart" Requires="c14">
      <c14:style val="102"/>
    </mc:Choice>
    <mc:Fallback>
      <c:style val="4"/>
    </mc:Fallback>
  </mc:AlternateContent>
  <c:spPr>
    <a:solidFill>
      <a:schemeClr val="bg1"/>
    </a:solidFill>
    <a:ln w="9525">
      <a:solidFill>
        <a:schemeClr val="tx1">
          <a:lumMod val="15000"/>
          <a:lumOff val="85000"/>
        </a:schemeClr>
      </a:solidFill>
    </a:ln>
  </c:spPr>
  <c:txPr>
    <a:bodyPr/>
    <a:p>
      <a:pPr>
        <a:defRPr b="0">
          <a:solidFill>
            <a:schemeClr val="tx1">
              <a:lumMod val="65000"/>
              <a:lumOff val="35000"/>
            </a:schemeClr>
          </a:solidFill>
          <a:latin typeface="+mn-lt"/>
        </a:defRPr>
      </a:pPr>
      <a:r>
        <a:rPr b="0">
          <a:solidFill>
            <a:schemeClr val="tx1">
              <a:lumMod val="65000"/>
              <a:lumOff val="35000"/>
            </a:schemeClr>
          </a:solidFill>
          <a:latin typeface="+mn-lt"/>
        </a:rPr>
        <a:t/>
      </a:r>
      <a:endParaRPr/>
    </a:p>
  </c:txPr>
</c:chartSpace>
</file>

<file path=xl/charts/colors1.xml><?xml version="1.0" encoding="utf-8"?>
<cs:colorStyle xmlns:a="http://schemas.openxmlformats.org/drawingml/2006/main" xmlns:cs="http://schemas.microsoft.com/office/drawing/2012/chartStyle" meth="cycle" id="10">
  <a:schemeClr val="accent1"/>
  <a:schemeClr val="accent2"/>
  <a:schemeClr val="accent3"/>
  <a:schemeClr val="accent4"/>
  <a:schemeClr val="accent5"/>
  <a:schemeClr val="accent6"/>
  <a:schemeClr val="accent1">
    <a:lumMod val="60000"/>
  </a:schemeClr>
  <a:schemeClr val="accent2">
    <a:lumMod val="60000"/>
  </a:schemeClr>
  <a:schemeClr val="accent3">
    <a:lumMod val="60000"/>
  </a:schemeClr>
  <a:schemeClr val="accent4">
    <a:lumMod val="60000"/>
  </a:schemeClr>
  <a:schemeClr val="accent5">
    <a:lumMod val="60000"/>
  </a:schemeClr>
  <a:schemeClr val="accent6">
    <a:lumMod val="60000"/>
  </a:schemeClr>
  <a:schemeClr val="accent1">
    <a:lumMod val="80000"/>
    <a:lumOff val="20000"/>
  </a:schemeClr>
  <a:schemeClr val="accent2">
    <a:lumMod val="80000"/>
    <a:lumOff val="20000"/>
  </a:schemeClr>
  <a:schemeClr val="accent3">
    <a:lumMod val="80000"/>
    <a:lumOff val="20000"/>
  </a:schemeClr>
  <a:schemeClr val="accent4">
    <a:lumMod val="80000"/>
    <a:lumOff val="20000"/>
  </a:schemeClr>
  <a:schemeClr val="accent5">
    <a:lumMod val="80000"/>
    <a:lumOff val="20000"/>
  </a:schemeClr>
  <a:schemeClr val="accent6">
    <a:lumMod val="80000"/>
    <a:lumOff val="20000"/>
  </a:schemeClr>
  <a:schemeClr val="accent1">
    <a:lumMod val="80000"/>
  </a:schemeClr>
  <a:schemeClr val="accent2">
    <a:lumMod val="80000"/>
  </a:schemeClr>
  <a:schemeClr val="accent3">
    <a:lumMod val="80000"/>
  </a:schemeClr>
  <a:schemeClr val="accent4">
    <a:lumMod val="80000"/>
  </a:schemeClr>
  <a:schemeClr val="accent5">
    <a:lumMod val="80000"/>
  </a:schemeClr>
  <a:schemeClr val="accent6">
    <a:lumMod val="80000"/>
  </a:schemeClr>
  <a:schemeClr val="accent1">
    <a:lumMod val="60000"/>
    <a:lumOff val="40000"/>
  </a:schemeClr>
  <a:schemeClr val="accent2">
    <a:lumMod val="60000"/>
    <a:lumOff val="40000"/>
  </a:schemeClr>
  <a:schemeClr val="accent3">
    <a:lumMod val="60000"/>
    <a:lumOff val="40000"/>
  </a:schemeClr>
  <a:schemeClr val="accent4">
    <a:lumMod val="60000"/>
    <a:lumOff val="40000"/>
  </a:schemeClr>
  <a:schemeClr val="accent5">
    <a:lumMod val="60000"/>
    <a:lumOff val="40000"/>
  </a:schemeClr>
  <a:schemeClr val="accent6">
    <a:lumMod val="60000"/>
    <a:lumOff val="40000"/>
  </a:schemeClr>
  <a:schemeClr val="accent1">
    <a:lumMod val="50000"/>
  </a:schemeClr>
  <a:schemeClr val="accent2">
    <a:lumMod val="50000"/>
  </a:schemeClr>
  <a:schemeClr val="accent3">
    <a:lumMod val="50000"/>
  </a:schemeClr>
  <a:schemeClr val="accent4">
    <a:lumMod val="50000"/>
  </a:schemeClr>
  <a:schemeClr val="accent5">
    <a:lumMod val="50000"/>
  </a:schemeClr>
  <a:schemeClr val="accent6">
    <a:lumMod val="50000"/>
  </a:schemeClr>
  <a:schemeClr val="accent1">
    <a:lumMod val="70000"/>
    <a:lumOff val="30000"/>
  </a:schemeClr>
  <a:schemeClr val="accent2">
    <a:lumMod val="70000"/>
    <a:lumOff val="30000"/>
  </a:schemeClr>
  <a:schemeClr val="accent3">
    <a:lumMod val="70000"/>
    <a:lumOff val="30000"/>
  </a:schemeClr>
  <a:schemeClr val="accent4">
    <a:lumMod val="70000"/>
    <a:lumOff val="30000"/>
  </a:schemeClr>
  <a:schemeClr val="accent5">
    <a:lumMod val="70000"/>
    <a:lumOff val="30000"/>
  </a:schemeClr>
  <a:schemeClr val="accent6">
    <a:lumMod val="70000"/>
    <a:lumOff val="30000"/>
  </a:schemeClr>
  <a:schemeClr val="accent1">
    <a:lumMod val="70000"/>
  </a:schemeClr>
  <a:schemeClr val="accent2">
    <a:lumMod val="70000"/>
  </a:schemeClr>
  <a:schemeClr val="accent3">
    <a:lumMod val="70000"/>
  </a:schemeClr>
  <a:schemeClr val="accent4">
    <a:lumMod val="70000"/>
  </a:schemeClr>
  <a:schemeClr val="accent5">
    <a:lumMod val="70000"/>
  </a:schemeClr>
  <a:schemeClr val="accent6">
    <a:lumMod val="70000"/>
  </a:schemeClr>
  <a:schemeClr val="accent1">
    <a:lumMod val="50000"/>
    <a:lumOff val="50000"/>
  </a:schemeClr>
  <a:schemeClr val="accent2">
    <a:lumMod val="50000"/>
    <a:lumOff val="50000"/>
  </a:schemeClr>
  <a:schemeClr val="accent3">
    <a:lumMod val="50000"/>
    <a:lumOff val="50000"/>
  </a:schemeClr>
  <a:schemeClr val="accent4">
    <a:lumMod val="50000"/>
    <a:lumOff val="50000"/>
  </a:schemeClr>
  <a:schemeClr val="accent5">
    <a:lumMod val="50000"/>
    <a:lumOff val="50000"/>
  </a:schemeClr>
  <a:schemeClr val="accent6">
    <a:lumMod val="50000"/>
    <a:lumOff val="50000"/>
  </a:schemeClr>
</cs:colorStyle>
</file>

<file path=xl/charts/colors2.xml><?xml version="1.0" encoding="utf-8"?>
<cs:colorStyle xmlns:a="http://schemas.openxmlformats.org/drawingml/2006/main" xmlns:cs="http://schemas.microsoft.com/office/drawing/2012/chartStyle" meth="cycle" id="10">
  <a:schemeClr val="accent1"/>
  <a:schemeClr val="accent2"/>
  <a:schemeClr val="accent3"/>
  <a:schemeClr val="accent4"/>
  <a:schemeClr val="accent5"/>
  <a:schemeClr val="accent6"/>
  <a:schemeClr val="accent1">
    <a:lumMod val="60000"/>
  </a:schemeClr>
  <a:schemeClr val="accent2">
    <a:lumMod val="60000"/>
  </a:schemeClr>
  <a:schemeClr val="accent3">
    <a:lumMod val="60000"/>
  </a:schemeClr>
  <a:schemeClr val="accent4">
    <a:lumMod val="60000"/>
  </a:schemeClr>
  <a:schemeClr val="accent5">
    <a:lumMod val="60000"/>
  </a:schemeClr>
  <a:schemeClr val="accent6">
    <a:lumMod val="60000"/>
  </a:schemeClr>
  <a:schemeClr val="accent1">
    <a:lumMod val="80000"/>
    <a:lumOff val="20000"/>
  </a:schemeClr>
  <a:schemeClr val="accent2">
    <a:lumMod val="80000"/>
    <a:lumOff val="20000"/>
  </a:schemeClr>
  <a:schemeClr val="accent3">
    <a:lumMod val="80000"/>
    <a:lumOff val="20000"/>
  </a:schemeClr>
  <a:schemeClr val="accent4">
    <a:lumMod val="80000"/>
    <a:lumOff val="20000"/>
  </a:schemeClr>
  <a:schemeClr val="accent5">
    <a:lumMod val="80000"/>
    <a:lumOff val="20000"/>
  </a:schemeClr>
  <a:schemeClr val="accent6">
    <a:lumMod val="80000"/>
    <a:lumOff val="20000"/>
  </a:schemeClr>
  <a:schemeClr val="accent1">
    <a:lumMod val="80000"/>
  </a:schemeClr>
  <a:schemeClr val="accent2">
    <a:lumMod val="80000"/>
  </a:schemeClr>
  <a:schemeClr val="accent3">
    <a:lumMod val="80000"/>
  </a:schemeClr>
  <a:schemeClr val="accent4">
    <a:lumMod val="80000"/>
  </a:schemeClr>
  <a:schemeClr val="accent5">
    <a:lumMod val="80000"/>
  </a:schemeClr>
  <a:schemeClr val="accent6">
    <a:lumMod val="80000"/>
  </a:schemeClr>
  <a:schemeClr val="accent1">
    <a:lumMod val="60000"/>
    <a:lumOff val="40000"/>
  </a:schemeClr>
  <a:schemeClr val="accent2">
    <a:lumMod val="60000"/>
    <a:lumOff val="40000"/>
  </a:schemeClr>
  <a:schemeClr val="accent3">
    <a:lumMod val="60000"/>
    <a:lumOff val="40000"/>
  </a:schemeClr>
  <a:schemeClr val="accent4">
    <a:lumMod val="60000"/>
    <a:lumOff val="40000"/>
  </a:schemeClr>
  <a:schemeClr val="accent5">
    <a:lumMod val="60000"/>
    <a:lumOff val="40000"/>
  </a:schemeClr>
  <a:schemeClr val="accent6">
    <a:lumMod val="60000"/>
    <a:lumOff val="40000"/>
  </a:schemeClr>
  <a:schemeClr val="accent1">
    <a:lumMod val="50000"/>
  </a:schemeClr>
  <a:schemeClr val="accent2">
    <a:lumMod val="50000"/>
  </a:schemeClr>
  <a:schemeClr val="accent3">
    <a:lumMod val="50000"/>
  </a:schemeClr>
  <a:schemeClr val="accent4">
    <a:lumMod val="50000"/>
  </a:schemeClr>
  <a:schemeClr val="accent5">
    <a:lumMod val="50000"/>
  </a:schemeClr>
  <a:schemeClr val="accent6">
    <a:lumMod val="50000"/>
  </a:schemeClr>
  <a:schemeClr val="accent1">
    <a:lumMod val="70000"/>
    <a:lumOff val="30000"/>
  </a:schemeClr>
  <a:schemeClr val="accent2">
    <a:lumMod val="70000"/>
    <a:lumOff val="30000"/>
  </a:schemeClr>
  <a:schemeClr val="accent3">
    <a:lumMod val="70000"/>
    <a:lumOff val="30000"/>
  </a:schemeClr>
  <a:schemeClr val="accent4">
    <a:lumMod val="70000"/>
    <a:lumOff val="30000"/>
  </a:schemeClr>
  <a:schemeClr val="accent5">
    <a:lumMod val="70000"/>
    <a:lumOff val="30000"/>
  </a:schemeClr>
  <a:schemeClr val="accent6">
    <a:lumMod val="70000"/>
    <a:lumOff val="30000"/>
  </a:schemeClr>
  <a:schemeClr val="accent1">
    <a:lumMod val="70000"/>
  </a:schemeClr>
  <a:schemeClr val="accent2">
    <a:lumMod val="70000"/>
  </a:schemeClr>
  <a:schemeClr val="accent3">
    <a:lumMod val="70000"/>
  </a:schemeClr>
  <a:schemeClr val="accent4">
    <a:lumMod val="70000"/>
  </a:schemeClr>
  <a:schemeClr val="accent5">
    <a:lumMod val="70000"/>
  </a:schemeClr>
  <a:schemeClr val="accent6">
    <a:lumMod val="70000"/>
  </a:schemeClr>
  <a:schemeClr val="accent1">
    <a:lumMod val="50000"/>
    <a:lumOff val="50000"/>
  </a:schemeClr>
  <a:schemeClr val="accent2">
    <a:lumMod val="50000"/>
    <a:lumOff val="50000"/>
  </a:schemeClr>
  <a:schemeClr val="accent3">
    <a:lumMod val="50000"/>
    <a:lumOff val="50000"/>
  </a:schemeClr>
  <a:schemeClr val="accent4">
    <a:lumMod val="50000"/>
    <a:lumOff val="50000"/>
  </a:schemeClr>
  <a:schemeClr val="accent5">
    <a:lumMod val="50000"/>
    <a:lumOff val="50000"/>
  </a:schemeClr>
  <a:schemeClr val="accent6">
    <a:lumMod val="50000"/>
    <a:lumOff val="50000"/>
  </a:schemeClr>
</cs:colorStyle>
</file>

<file path=xl/charts/colors3.xml><?xml version="1.0" encoding="utf-8"?>
<cs:colorStyle xmlns:a="http://schemas.openxmlformats.org/drawingml/2006/main" xmlns:cs="http://schemas.microsoft.com/office/drawing/2012/chartStyle" meth="cycle" id="10">
  <a:schemeClr val="accent1"/>
  <a:schemeClr val="accent2"/>
  <a:schemeClr val="accent3"/>
  <a:schemeClr val="accent4"/>
  <a:schemeClr val="accent5"/>
  <a:schemeClr val="accent6"/>
  <a:schemeClr val="accent1">
    <a:lumMod val="60000"/>
  </a:schemeClr>
  <a:schemeClr val="accent2">
    <a:lumMod val="60000"/>
  </a:schemeClr>
  <a:schemeClr val="accent3">
    <a:lumMod val="60000"/>
  </a:schemeClr>
  <a:schemeClr val="accent4">
    <a:lumMod val="60000"/>
  </a:schemeClr>
  <a:schemeClr val="accent5">
    <a:lumMod val="60000"/>
  </a:schemeClr>
  <a:schemeClr val="accent6">
    <a:lumMod val="60000"/>
  </a:schemeClr>
  <a:schemeClr val="accent1">
    <a:lumMod val="80000"/>
    <a:lumOff val="20000"/>
  </a:schemeClr>
  <a:schemeClr val="accent2">
    <a:lumMod val="80000"/>
    <a:lumOff val="20000"/>
  </a:schemeClr>
  <a:schemeClr val="accent3">
    <a:lumMod val="80000"/>
    <a:lumOff val="20000"/>
  </a:schemeClr>
  <a:schemeClr val="accent4">
    <a:lumMod val="80000"/>
    <a:lumOff val="20000"/>
  </a:schemeClr>
  <a:schemeClr val="accent5">
    <a:lumMod val="80000"/>
    <a:lumOff val="20000"/>
  </a:schemeClr>
  <a:schemeClr val="accent6">
    <a:lumMod val="80000"/>
    <a:lumOff val="20000"/>
  </a:schemeClr>
  <a:schemeClr val="accent1">
    <a:lumMod val="80000"/>
  </a:schemeClr>
  <a:schemeClr val="accent2">
    <a:lumMod val="80000"/>
  </a:schemeClr>
  <a:schemeClr val="accent3">
    <a:lumMod val="80000"/>
  </a:schemeClr>
  <a:schemeClr val="accent4">
    <a:lumMod val="80000"/>
  </a:schemeClr>
  <a:schemeClr val="accent5">
    <a:lumMod val="80000"/>
  </a:schemeClr>
  <a:schemeClr val="accent6">
    <a:lumMod val="80000"/>
  </a:schemeClr>
  <a:schemeClr val="accent1">
    <a:lumMod val="60000"/>
    <a:lumOff val="40000"/>
  </a:schemeClr>
  <a:schemeClr val="accent2">
    <a:lumMod val="60000"/>
    <a:lumOff val="40000"/>
  </a:schemeClr>
  <a:schemeClr val="accent3">
    <a:lumMod val="60000"/>
    <a:lumOff val="40000"/>
  </a:schemeClr>
  <a:schemeClr val="accent4">
    <a:lumMod val="60000"/>
    <a:lumOff val="40000"/>
  </a:schemeClr>
  <a:schemeClr val="accent5">
    <a:lumMod val="60000"/>
    <a:lumOff val="40000"/>
  </a:schemeClr>
  <a:schemeClr val="accent6">
    <a:lumMod val="60000"/>
    <a:lumOff val="40000"/>
  </a:schemeClr>
  <a:schemeClr val="accent1">
    <a:lumMod val="50000"/>
  </a:schemeClr>
  <a:schemeClr val="accent2">
    <a:lumMod val="50000"/>
  </a:schemeClr>
  <a:schemeClr val="accent3">
    <a:lumMod val="50000"/>
  </a:schemeClr>
  <a:schemeClr val="accent4">
    <a:lumMod val="50000"/>
  </a:schemeClr>
  <a:schemeClr val="accent5">
    <a:lumMod val="50000"/>
  </a:schemeClr>
  <a:schemeClr val="accent6">
    <a:lumMod val="50000"/>
  </a:schemeClr>
  <a:schemeClr val="accent1">
    <a:lumMod val="70000"/>
    <a:lumOff val="30000"/>
  </a:schemeClr>
  <a:schemeClr val="accent2">
    <a:lumMod val="70000"/>
    <a:lumOff val="30000"/>
  </a:schemeClr>
  <a:schemeClr val="accent3">
    <a:lumMod val="70000"/>
    <a:lumOff val="30000"/>
  </a:schemeClr>
  <a:schemeClr val="accent4">
    <a:lumMod val="70000"/>
    <a:lumOff val="30000"/>
  </a:schemeClr>
  <a:schemeClr val="accent5">
    <a:lumMod val="70000"/>
    <a:lumOff val="30000"/>
  </a:schemeClr>
  <a:schemeClr val="accent6">
    <a:lumMod val="70000"/>
    <a:lumOff val="30000"/>
  </a:schemeClr>
  <a:schemeClr val="accent1">
    <a:lumMod val="70000"/>
  </a:schemeClr>
  <a:schemeClr val="accent2">
    <a:lumMod val="70000"/>
  </a:schemeClr>
  <a:schemeClr val="accent3">
    <a:lumMod val="70000"/>
  </a:schemeClr>
  <a:schemeClr val="accent4">
    <a:lumMod val="70000"/>
  </a:schemeClr>
  <a:schemeClr val="accent5">
    <a:lumMod val="70000"/>
  </a:schemeClr>
  <a:schemeClr val="accent6">
    <a:lumMod val="70000"/>
  </a:schemeClr>
  <a:schemeClr val="accent1">
    <a:lumMod val="50000"/>
    <a:lumOff val="50000"/>
  </a:schemeClr>
  <a:schemeClr val="accent2">
    <a:lumMod val="50000"/>
    <a:lumOff val="50000"/>
  </a:schemeClr>
  <a:schemeClr val="accent3">
    <a:lumMod val="50000"/>
    <a:lumOff val="50000"/>
  </a:schemeClr>
  <a:schemeClr val="accent4">
    <a:lumMod val="50000"/>
    <a:lumOff val="50000"/>
  </a:schemeClr>
  <a:schemeClr val="accent5">
    <a:lumMod val="50000"/>
    <a:lumOff val="50000"/>
  </a:schemeClr>
  <a:schemeClr val="accent6">
    <a:lumMod val="50000"/>
    <a:lumOff val="50000"/>
  </a:schemeClr>
</cs:colorStyle>
</file>

<file path=xl/charts/style1.xml><?xml version="1.0" encoding="utf-8"?>
<cs:chartStyle xmlns:cs="http://schemas.microsoft.com/office/drawing/2012/chartStyle" xmlns:a="http://schemas.openxmlformats.org/drawingml/2006/main" id="381">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81">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81">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3</xdr:col>
      <xdr:colOff>142875</xdr:colOff>
      <xdr:row>20</xdr:row>
      <xdr:rowOff>95250</xdr:rowOff>
    </xdr:from>
    <xdr:to>
      <xdr:col>6</xdr:col>
      <xdr:colOff>19050</xdr:colOff>
      <xdr:row>33</xdr:row>
      <xdr:rowOff>0</xdr:rowOff>
    </xdr:to>
    <xdr:graphicFrame>
      <xdr:nvGraphicFramePr>
        <xdr:cNvPr id="2" name="CategoryPie"/>
        <xdr:cNvGraphicFramePr>
          <a:graphicFrameLocks noChangeAspect="0"/>
        </xdr:cNvGraphicFramePr>
      </xdr:nvGraphicFramePr>
      <xdr:xfrm>
        <a:off x="4191000" y="4000500"/>
        <a:ext cx="3333750" cy="23812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33</xdr:row>
      <xdr:rowOff>95250</xdr:rowOff>
    </xdr:from>
    <xdr:to>
      <xdr:col>1</xdr:col>
      <xdr:colOff>819150</xdr:colOff>
      <xdr:row>46</xdr:row>
      <xdr:rowOff>0</xdr:rowOff>
    </xdr:to>
    <xdr:graphicFrame>
      <xdr:nvGraphicFramePr>
        <xdr:cNvPr id="3" name="MerchantBar"/>
        <xdr:cNvGraphicFramePr>
          <a:graphicFrameLocks noChangeAspect="0"/>
        </xdr:cNvGraphicFramePr>
      </xdr:nvGraphicFramePr>
      <xdr:xfrm>
        <a:off x="0" y="6477000"/>
        <a:ext cx="3333750" cy="238125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47625</xdr:colOff>
      <xdr:row>33</xdr:row>
      <xdr:rowOff>95250</xdr:rowOff>
    </xdr:from>
    <xdr:to>
      <xdr:col>4</xdr:col>
      <xdr:colOff>1647825</xdr:colOff>
      <xdr:row>43</xdr:row>
      <xdr:rowOff>95250</xdr:rowOff>
    </xdr:to>
    <xdr:graphicFrame>
      <xdr:nvGraphicFramePr>
        <xdr:cNvPr id="4" name="ReconciliationColumn"/>
        <xdr:cNvGraphicFramePr>
          <a:graphicFrameLocks noChangeAspect="0"/>
        </xdr:cNvGraphicFramePr>
      </xdr:nvGraphicFramePr>
      <xdr:xfrm>
        <a:off x="3429000" y="6477000"/>
        <a:ext cx="2857500" cy="190500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A1BEB489-B8F8-FDAF-2748-5FA220A5AB5E}" mc:Ignorable="x14ac xr xr2 xr3">
  <dimension ref="A1:GR1000"/>
  <sheetViews>
    <sheetView topLeftCell="A1" workbookViewId="0">
      <selection activeCell="B2" sqref="B2"/>
    </sheetView>
  </sheetViews>
  <sheetFormatPr defaultRowHeight="15" defaultColWidth="8.8515625" customHeight="1"/>
  <cols>
    <col min="1" max="1" width="2.8515625" customWidth="1"/>
    <col min="2" max="2" width="85.7109375" customWidth="1"/>
    <col min="3" max="3" width="21.421875" customWidth="1"/>
  </cols>
  <sheetData>
    <row r="1" ht="15" customHeight="1">
      <c r="C1" s="1" t="s">
        <v>0</v>
      </c>
    </row>
    <row r="2" ht="22.5" customHeight="1">
      <c r="B2" s="2" t="s">
        <v>1</v>
      </c>
      <c r="C2" s="3"/>
    </row>
    <row r="3" ht="15" customHeight="1">
      <c r="B3" s="3"/>
      <c r="C3" s="3"/>
    </row>
    <row r="4" ht="15" customHeight="1">
      <c r="B4" s="4" t="s">
        <v>2</v>
      </c>
      <c r="C4" s="3"/>
    </row>
    <row r="5" ht="60" customHeight="1">
      <c r="B5" s="5" t="s">
        <v>3</v>
      </c>
      <c r="C5" s="3"/>
    </row>
    <row r="6" ht="15" customHeight="1">
      <c r="B6" s="3"/>
      <c r="C6" s="3"/>
    </row>
    <row r="7" ht="15" customHeight="1">
      <c r="B7" s="3"/>
      <c r="C7" s="3"/>
    </row>
    <row r="8" ht="15" customHeight="1">
      <c r="B8" s="3"/>
      <c r="C8" s="3"/>
    </row>
    <row r="9" ht="15" customHeight="1">
      <c r="B9" s="4" t="s">
        <v>4</v>
      </c>
      <c r="C9" s="3"/>
    </row>
    <row r="10" ht="15" customHeight="1">
      <c r="B10" s="5" t="s">
        <v>5</v>
      </c>
      <c r="C10" s="3"/>
    </row>
    <row r="11" ht="15" customHeight="1">
      <c r="B11" s="5" t="s">
        <v>6</v>
      </c>
      <c r="C11" s="3"/>
    </row>
    <row r="12" ht="15" customHeight="1">
      <c r="B12" s="5" t="s">
        <v>7</v>
      </c>
      <c r="C12" s="3"/>
    </row>
    <row r="13" ht="15" customHeight="1">
      <c r="B13" s="5" t="s">
        <v>8</v>
      </c>
      <c r="C13" s="3"/>
    </row>
    <row r="14" ht="15" customHeight="1">
      <c r="B14" s="5" t="s">
        <v>9</v>
      </c>
      <c r="C14" s="3"/>
    </row>
    <row r="15" ht="15" customHeight="1">
      <c r="B15" s="5" t="s">
        <v>10</v>
      </c>
      <c r="C15" s="3"/>
    </row>
    <row r="16" ht="15" customHeight="1">
      <c r="B16" s="5" t="s">
        <v>11</v>
      </c>
      <c r="C16" s="3"/>
    </row>
    <row r="17" ht="15" customHeight="1">
      <c r="B17" s="3"/>
      <c r="C17" s="3"/>
    </row>
    <row r="18" ht="15" customHeight="1">
      <c r="B18" s="3"/>
      <c r="C18" s="3"/>
    </row>
    <row r="19" ht="15" customHeight="1">
      <c r="B19" s="3"/>
      <c r="C19" s="3"/>
    </row>
    <row r="20" ht="15" customHeight="1">
      <c r="B20" s="4" t="s">
        <v>12</v>
      </c>
      <c r="C20" s="3"/>
    </row>
    <row r="21" ht="15" customHeight="1">
      <c r="B21" s="5" t="s">
        <v>13</v>
      </c>
      <c r="C21" s="3"/>
    </row>
    <row r="22" ht="15" customHeight="1">
      <c r="B22" s="5" t="s">
        <v>14</v>
      </c>
      <c r="C22" s="3"/>
    </row>
    <row r="23" ht="15" customHeight="1">
      <c r="B23" s="5" t="s">
        <v>15</v>
      </c>
      <c r="C23" s="3"/>
    </row>
    <row r="24" ht="15" customHeight="1">
      <c r="B24" s="3"/>
      <c r="C24" s="3"/>
    </row>
    <row r="25" ht="15" customHeight="1">
      <c r="B25" s="4" t="s">
        <v>16</v>
      </c>
      <c r="C25" s="3"/>
    </row>
    <row r="26" ht="15" customHeight="1">
      <c r="B26" s="5" t="s">
        <v>17</v>
      </c>
      <c r="C26" s="3"/>
    </row>
    <row r="27" ht="15" customHeight="1">
      <c r="B27" s="5" t="s">
        <v>18</v>
      </c>
      <c r="C27" s="3"/>
    </row>
    <row r="28" ht="15" customHeight="1">
      <c r="B28" s="5" t="s">
        <v>19</v>
      </c>
      <c r="C28" s="3"/>
    </row>
    <row r="29" ht="15" customHeight="1">
      <c r="B29" s="5" t="s">
        <v>20</v>
      </c>
      <c r="C29" s="3"/>
    </row>
    <row r="30" ht="15" customHeight="1">
      <c r="B30" s="5" t="s">
        <v>21</v>
      </c>
      <c r="C30" s="3"/>
    </row>
    <row r="31" ht="15" customHeight="1">
      <c r="B31" s="5" t="s">
        <v>22</v>
      </c>
      <c r="C31" s="3"/>
    </row>
    <row r="32" ht="15" customHeight="1">
      <c r="B32" s="5" t="s">
        <v>23</v>
      </c>
      <c r="C32" s="3"/>
    </row>
    <row r="33" ht="15" customHeight="1">
      <c r="B33" s="3"/>
      <c r="C33" s="3"/>
    </row>
    <row r="34" ht="15" customHeight="1">
      <c r="B34" s="4" t="s">
        <v>24</v>
      </c>
      <c r="C34" s="3"/>
    </row>
    <row r="35" ht="15" customHeight="1">
      <c r="B35" s="5" t="s">
        <v>25</v>
      </c>
      <c r="C35" s="3"/>
    </row>
    <row r="36" ht="15" customHeight="1">
      <c r="B36" s="5" t="s">
        <v>26</v>
      </c>
      <c r="C36" s="3"/>
    </row>
    <row r="37" ht="15" customHeight="1">
      <c r="B37" s="5" t="s">
        <v>27</v>
      </c>
      <c r="C37" s="3"/>
    </row>
    <row r="38" ht="15" customHeight="1">
      <c r="B38" s="5" t="s">
        <v>28</v>
      </c>
      <c r="C38" s="3"/>
    </row>
    <row r="39" ht="15" customHeight="1">
      <c r="B39" s="5" t="s">
        <v>29</v>
      </c>
      <c r="C39" s="3"/>
    </row>
    <row r="40" ht="15" customHeight="1">
      <c r="B40" s="3"/>
      <c r="C40" s="3"/>
    </row>
    <row r="41" ht="15" customHeight="1">
      <c r="B41" s="4" t="s">
        <v>30</v>
      </c>
      <c r="C41" s="3"/>
    </row>
    <row r="42" ht="15" customHeight="1">
      <c r="B42" s="5" t="s">
        <v>31</v>
      </c>
      <c r="C42" s="3"/>
    </row>
    <row r="43" ht="15" customHeight="1">
      <c r="B43" s="5" t="s">
        <v>32</v>
      </c>
      <c r="C43" s="3"/>
    </row>
    <row r="44" ht="15" customHeight="1">
      <c r="B44" s="5" t="s">
        <v>33</v>
      </c>
      <c r="C44" s="3"/>
    </row>
    <row r="45" ht="15" customHeight="1">
      <c r="B45" s="5" t="s">
        <v>34</v>
      </c>
      <c r="C45" s="3"/>
    </row>
    <row r="46" ht="15" customHeight="1">
      <c r="B46" s="5" t="s">
        <v>35</v>
      </c>
      <c r="C46" s="3"/>
    </row>
    <row r="47" ht="15" customHeight="1">
      <c r="B47" s="5" t="s">
        <v>36</v>
      </c>
      <c r="C47" s="3"/>
    </row>
    <row r="48" ht="15" customHeight="1">
      <c r="B48" s="5" t="s">
        <v>37</v>
      </c>
      <c r="C48" s="3"/>
    </row>
    <row r="49" ht="15" customHeight="1">
      <c r="B49" s="6"/>
      <c r="C49" s="3"/>
    </row>
    <row r="50" ht="15" customHeight="1">
      <c r="B50" s="3"/>
      <c r="C50" s="3"/>
    </row>
    <row r="51" ht="15" customHeight="1">
      <c r="B51" s="7" t="s">
        <v>38</v>
      </c>
      <c r="C51" s="3"/>
    </row>
    <row r="52" ht="15" customHeight="1">
      <c r="B52" s="8" t="s">
        <v>39</v>
      </c>
      <c r="C52" s="3"/>
    </row>
    <row r="53" ht="15" customHeight="1">
      <c r="B53" s="9" t="s">
        <v>40</v>
      </c>
      <c r="C53" s="3"/>
    </row>
    <row r="54" ht="15" customHeight="1">
      <c r="B54" s="9" t="s">
        <v>41</v>
      </c>
      <c r="C54" s="3"/>
    </row>
    <row r="55" ht="15" customHeight="1">
      <c r="B55" s="9" t="s">
        <v>42</v>
      </c>
      <c r="C55" s="3"/>
    </row>
  </sheetData>
  <printOptions/>
  <pageMargins left="0.7" right="0.7" top="0.75" bottom="0.75" header="0.3" footer="0.3"/>
  <pageSetup paperSize="1" orientation="portrait"/>
  <headerFooter>
    <oddHeader>&amp;L&amp;C&amp;R</oddHeader>
    <oddFooter>&amp;L&amp;C&amp;R</oddFooter>
  </headerFooter>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360B4D3-00A7-45BF-1AC8-0023E8769396}" mc:Ignorable="x14ac xr xr2 xr3">
  <dimension ref="A1:GR1000"/>
  <sheetViews>
    <sheetView topLeftCell="A1" workbookViewId="0">
      <selection activeCell="C4" sqref="C4"/>
    </sheetView>
  </sheetViews>
  <sheetFormatPr defaultRowHeight="15" defaultColWidth="8.8515625" customHeight="1"/>
  <cols>
    <col min="1" max="1" width="3.421875" customWidth="1"/>
    <col min="2" max="2" width="28.57421875" customWidth="1"/>
    <col min="3" max="3" width="34.28125" customWidth="1"/>
    <col min="4" max="4" width="3.421875" customWidth="1"/>
    <col min="5" max="6" width="28.57421875" customWidth="1"/>
    <col min="8" max="8" width="17.140625" customWidth="1"/>
    <col min="9" max="9" width="21.421875" customWidth="1"/>
  </cols>
  <sheetData>
    <row r="2" ht="21" customHeight="1">
      <c r="B2" s="10" t="s">
        <v>43</v>
      </c>
      <c r="E2" s="10" t="s">
        <v>44</v>
      </c>
      <c r="H2" s="11" t="s">
        <v>45</v>
      </c>
      <c r="I2" s="11" t="s">
        <v>46</v>
      </c>
    </row>
    <row r="3" ht="15" customHeight="1">
      <c r="H3" t="s">
        <v>47</v>
      </c>
      <c r="I3" t="s">
        <v>48</v>
      </c>
    </row>
    <row r="4" ht="15" customHeight="1">
      <c r="B4" s="12" t="s">
        <v>49</v>
      </c>
      <c r="C4" s="13"/>
      <c r="E4" s="14" t="s">
        <v>50</v>
      </c>
      <c r="F4" s="14" t="s">
        <v>51</v>
      </c>
      <c r="H4" t="s">
        <v>52</v>
      </c>
      <c r="I4" t="s">
        <v>53</v>
      </c>
    </row>
    <row r="5" ht="15" customHeight="1">
      <c r="B5" s="12" t="s">
        <v>54</v>
      </c>
      <c r="C5" s="13" t="s">
        <v>47</v>
      </c>
      <c r="E5" s="15" t="s">
        <v>55</v>
      </c>
      <c r="F5" s="15" t="s">
        <v>56</v>
      </c>
      <c r="H5" t="s">
        <v>57</v>
      </c>
      <c r="I5" t="s">
        <v>58</v>
      </c>
    </row>
    <row r="6" ht="15" customHeight="1">
      <c r="B6" s="12" t="s">
        <v>59</v>
      </c>
      <c r="C6" s="13" t="s">
        <v>48</v>
      </c>
      <c r="E6" s="16" t="s">
        <v>60</v>
      </c>
      <c r="F6" s="16" t="s">
        <v>61</v>
      </c>
      <c r="H6" t="s">
        <v>62</v>
      </c>
    </row>
    <row r="7" ht="15" customHeight="1">
      <c r="B7" s="12" t="s">
        <v>63</v>
      </c>
      <c r="C7" s="17">
        <v>0.5</v>
      </c>
      <c r="E7" s="15" t="s">
        <v>64</v>
      </c>
      <c r="F7" s="15" t="s">
        <v>65</v>
      </c>
      <c r="H7" t="s">
        <v>66</v>
      </c>
    </row>
    <row r="8" ht="15" customHeight="1">
      <c r="B8" s="12" t="s">
        <v>67</v>
      </c>
      <c r="C8" s="18">
        <v>0</v>
      </c>
      <c r="E8" s="16" t="s">
        <v>68</v>
      </c>
      <c r="F8" s="16" t="s">
        <v>69</v>
      </c>
      <c r="H8" t="s">
        <v>70</v>
      </c>
    </row>
    <row r="9" ht="15" customHeight="1">
      <c r="E9" s="15" t="s">
        <v>71</v>
      </c>
    </row>
    <row r="10" ht="15" customHeight="1">
      <c r="E10" s="16" t="s">
        <v>72</v>
      </c>
    </row>
    <row r="11" ht="15" customHeight="1">
      <c r="E11" s="15" t="s">
        <v>73</v>
      </c>
    </row>
    <row r="12" ht="15" customHeight="1">
      <c r="E12" s="16" t="s">
        <v>69</v>
      </c>
    </row>
    <row r="14" ht="15" customHeight="1">
      <c r="E14" s="11" t="s">
        <v>74</v>
      </c>
      <c r="F14" s="11" t="s">
        <v>75</v>
      </c>
    </row>
    <row r="15" ht="15" customHeight="1">
      <c r="E15" s="15" t="s">
        <v>76</v>
      </c>
      <c r="F15" s="15" t="s">
        <v>77</v>
      </c>
    </row>
    <row r="16" ht="15" customHeight="1">
      <c r="E16" s="16" t="s">
        <v>78</v>
      </c>
      <c r="F16" s="16" t="s">
        <v>79</v>
      </c>
    </row>
    <row r="17" ht="15" customHeight="1">
      <c r="F17" s="15" t="s">
        <v>80</v>
      </c>
    </row>
    <row r="18" ht="15" customHeight="1">
      <c r="F18" s="16" t="s">
        <v>81</v>
      </c>
    </row>
    <row r="20" ht="15" customHeight="1">
      <c r="E20" s="14" t="s">
        <v>82</v>
      </c>
    </row>
    <row r="21" ht="15" customHeight="1">
      <c r="E21" s="15" t="s">
        <v>83</v>
      </c>
    </row>
    <row r="22" ht="15" customHeight="1">
      <c r="E22" s="16" t="s">
        <v>84</v>
      </c>
    </row>
    <row r="23" ht="15" customHeight="1">
      <c r="E23" s="15" t="s">
        <v>85</v>
      </c>
    </row>
    <row r="24" ht="15" customHeight="1">
      <c r="E24" s="16" t="s">
        <v>86</v>
      </c>
    </row>
    <row r="25" ht="15" customHeight="1">
      <c r="E25" s="15" t="s">
        <v>87</v>
      </c>
    </row>
    <row r="26" ht="15" customHeight="1">
      <c r="E26" s="16" t="s">
        <v>88</v>
      </c>
    </row>
  </sheetData>
  <mergeCells>
    <mergeCell ref="B2:C2"/>
    <mergeCell ref="E2:F2"/>
  </mergeCells>
  <printOptions/>
  <pageMargins left="0.7" right="0.7" top="0.75" bottom="0.75" header="0.3" footer="0.3"/>
  <pageSetup paperSize="1" orientation="portrait"/>
  <headerFooter>
    <oddHeader>&amp;L&amp;C&amp;R</oddHeader>
    <oddFooter>&amp;L&amp;C&amp;R</oddFooter>
  </headerFooter>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24C014A8-7ACB-39F1-1978-D146AFBCA10B}" mc:Ignorable="x14ac xr xr2 xr3">
  <dimension ref="A1:GR1000"/>
  <sheetViews>
    <sheetView topLeftCell="A1" workbookViewId="0">
      <pane ySplit="1" topLeftCell="A2" activePane="bottomLeft" state="frozen"/>
      <selection pane="bottomLeft" activeCell="A1" sqref="A1"/>
    </sheetView>
  </sheetViews>
  <sheetFormatPr defaultRowHeight="15" defaultColWidth="8.8515625" customHeight="1"/>
  <cols>
    <col min="1" max="1" width="14.28125" customWidth="1"/>
    <col min="2" max="2" width="15.7109375" customWidth="1"/>
    <col min="3" max="3" width="17.140625" customWidth="1"/>
    <col min="4" max="4" width="18.57421875" customWidth="1"/>
    <col min="5" max="5" width="9.28125" customWidth="1"/>
    <col min="6" max="6" width="22.8515625" customWidth="1"/>
    <col min="7" max="7" width="18.57421875" customWidth="1"/>
    <col min="8" max="8" width="28.57421875" customWidth="1"/>
    <col min="9" max="9" width="14.28125" customWidth="1"/>
    <col min="10" max="10" width="12.8515625" customWidth="1"/>
    <col min="11" max="12" width="15.7109375" customWidth="1"/>
    <col min="13" max="13" width="14.28125" customWidth="1"/>
    <col min="14" max="14" width="15.7109375" customWidth="1"/>
    <col min="15" max="15" width="17.140625" customWidth="1"/>
    <col min="16" max="17" width="14.28125" customWidth="1"/>
    <col min="18" max="18" width="17.140625" customWidth="1"/>
    <col min="19" max="19" width="18.57421875" customWidth="1"/>
    <col min="20" max="20" width="12.8515625" customWidth="1"/>
    <col min="21" max="21" width="21.421875" customWidth="1"/>
    <col min="22" max="22" width="17.140625" customWidth="1"/>
    <col min="23" max="23" width="20.00390625" customWidth="1"/>
  </cols>
  <sheetData>
    <row r="1" ht="15" customHeight="1">
      <c r="A1" s="19" t="s">
        <v>89</v>
      </c>
      <c r="B1" s="19" t="s">
        <v>90</v>
      </c>
      <c r="C1" s="19" t="s">
        <v>91</v>
      </c>
      <c r="D1" s="19" t="s">
        <v>92</v>
      </c>
      <c r="E1" s="19" t="s">
        <v>93</v>
      </c>
      <c r="F1" s="19" t="s">
        <v>94</v>
      </c>
      <c r="G1" s="19" t="s">
        <v>95</v>
      </c>
      <c r="H1" s="19" t="s">
        <v>96</v>
      </c>
      <c r="I1" s="19" t="s">
        <v>97</v>
      </c>
      <c r="J1" s="19" t="s">
        <v>98</v>
      </c>
      <c r="K1" s="19" t="s">
        <v>99</v>
      </c>
      <c r="L1" s="19" t="s">
        <v>100</v>
      </c>
      <c r="M1" s="19" t="s">
        <v>101</v>
      </c>
      <c r="N1" s="19" t="s">
        <v>74</v>
      </c>
      <c r="O1" s="19" t="s">
        <v>102</v>
      </c>
      <c r="P1" s="19" t="s">
        <v>103</v>
      </c>
      <c r="Q1" s="19" t="s">
        <v>104</v>
      </c>
      <c r="R1" s="19" t="s">
        <v>105</v>
      </c>
      <c r="S1" s="19" t="s">
        <v>106</v>
      </c>
      <c r="T1" s="19" t="s">
        <v>107</v>
      </c>
      <c r="U1" s="19" t="s">
        <v>108</v>
      </c>
      <c r="V1" s="19" t="s">
        <v>109</v>
      </c>
      <c r="W1" s="19" t="s">
        <v>110</v>
      </c>
    </row>
    <row r="2" ht="15" customHeight="1">
      <c r="A2" t="s">
        <v>111</v>
      </c>
      <c r="B2" s="20" t="s">
        <v>112</v>
      </c>
      <c r="C2" s="20" t="s">
        <v>113</v>
      </c>
      <c r="D2" t="s">
        <v>114</v>
      </c>
      <c r="E2">
        <v>1234</v>
      </c>
      <c r="F2" t="s">
        <v>115</v>
      </c>
      <c r="G2" t="s">
        <v>64</v>
      </c>
      <c r="H2" t="s">
        <v>116</v>
      </c>
      <c r="I2" s="21">
        <v>156.78</v>
      </c>
      <c r="J2" t="s">
        <v>47</v>
      </c>
      <c r="K2" s="22">
        <v>1</v>
      </c>
      <c r="L2" s="21">
        <f t="shared" si="0" ref="L2:L19">I2*K2</f>
        <v>156.78</v>
      </c>
      <c r="M2" s="21">
        <f>L2*Settings!$C$8</f>
        <v>0</v>
      </c>
      <c r="N2" t="s">
        <v>76</v>
      </c>
      <c r="O2" t="s">
        <v>84</v>
      </c>
      <c r="Q2" t="s">
        <v>78</v>
      </c>
      <c r="T2" t="s">
        <v>77</v>
      </c>
      <c r="U2" t="s">
        <v>117</v>
      </c>
      <c r="V2" t="s">
        <v>118</v>
      </c>
      <c r="W2" s="23" t="s">
        <v>119</v>
      </c>
    </row>
    <row r="3" ht="15" customHeight="1">
      <c r="A3" t="s">
        <v>120</v>
      </c>
      <c r="B3" s="20" t="s">
        <v>113</v>
      </c>
      <c r="C3" s="20" t="s">
        <v>121</v>
      </c>
      <c r="D3" t="s">
        <v>122</v>
      </c>
      <c r="E3">
        <v>5678</v>
      </c>
      <c r="F3" t="s">
        <v>123</v>
      </c>
      <c r="G3" t="s">
        <v>55</v>
      </c>
      <c r="H3" t="s">
        <v>124</v>
      </c>
      <c r="I3" s="21">
        <v>487.5</v>
      </c>
      <c r="J3" t="s">
        <v>47</v>
      </c>
      <c r="K3" s="22">
        <v>1</v>
      </c>
      <c r="L3" s="21">
        <f t="shared" si="0"/>
        <v>487.5</v>
      </c>
      <c r="M3" s="21">
        <f>L3*Settings!$C$8</f>
        <v>0</v>
      </c>
      <c r="N3" t="s">
        <v>76</v>
      </c>
      <c r="O3" t="s">
        <v>86</v>
      </c>
      <c r="Q3" t="s">
        <v>78</v>
      </c>
      <c r="T3" t="s">
        <v>77</v>
      </c>
      <c r="U3" t="s">
        <v>125</v>
      </c>
      <c r="V3" t="s">
        <v>126</v>
      </c>
      <c r="W3" s="23" t="s">
        <v>127</v>
      </c>
    </row>
    <row r="4" ht="15" customHeight="1">
      <c r="A4" t="s">
        <v>128</v>
      </c>
      <c r="B4" s="20" t="s">
        <v>121</v>
      </c>
      <c r="C4" s="20" t="s">
        <v>129</v>
      </c>
      <c r="D4" t="s">
        <v>114</v>
      </c>
      <c r="E4">
        <v>1234</v>
      </c>
      <c r="F4" t="s">
        <v>130</v>
      </c>
      <c r="G4" t="s">
        <v>60</v>
      </c>
      <c r="H4" t="s">
        <v>131</v>
      </c>
      <c r="I4" s="21">
        <v>45.23</v>
      </c>
      <c r="J4" t="s">
        <v>47</v>
      </c>
      <c r="K4" s="22">
        <v>1</v>
      </c>
      <c r="L4" s="21">
        <f t="shared" si="0"/>
        <v>45.23</v>
      </c>
      <c r="M4" s="21">
        <f>L4*Settings!$C$8</f>
        <v>0</v>
      </c>
      <c r="N4" t="s">
        <v>78</v>
      </c>
      <c r="O4" t="s">
        <v>83</v>
      </c>
      <c r="Q4" t="s">
        <v>78</v>
      </c>
      <c r="T4" t="s">
        <v>77</v>
      </c>
      <c r="V4" t="s">
        <v>118</v>
      </c>
      <c r="W4" s="23" t="s">
        <v>132</v>
      </c>
    </row>
    <row r="5" ht="15" customHeight="1">
      <c r="A5" t="s">
        <v>133</v>
      </c>
      <c r="B5" s="20" t="s">
        <v>134</v>
      </c>
      <c r="C5" s="20" t="s">
        <v>135</v>
      </c>
      <c r="D5" t="s">
        <v>136</v>
      </c>
      <c r="E5">
        <v>9012</v>
      </c>
      <c r="F5" t="s">
        <v>137</v>
      </c>
      <c r="G5" t="s">
        <v>55</v>
      </c>
      <c r="H5" t="s">
        <v>138</v>
      </c>
      <c r="I5" s="21">
        <v>398</v>
      </c>
      <c r="J5" t="s">
        <v>47</v>
      </c>
      <c r="K5" s="22">
        <v>1</v>
      </c>
      <c r="L5" s="21">
        <f t="shared" si="0"/>
        <v>398</v>
      </c>
      <c r="M5" s="21">
        <f>L5*Settings!$C$8</f>
        <v>0</v>
      </c>
      <c r="N5" t="s">
        <v>76</v>
      </c>
      <c r="O5" t="s">
        <v>86</v>
      </c>
      <c r="Q5" t="s">
        <v>78</v>
      </c>
      <c r="T5" t="s">
        <v>77</v>
      </c>
      <c r="U5" t="s">
        <v>139</v>
      </c>
      <c r="V5" t="s">
        <v>126</v>
      </c>
      <c r="W5" s="23" t="s">
        <v>140</v>
      </c>
    </row>
    <row r="6" ht="15" customHeight="1">
      <c r="A6" t="s">
        <v>141</v>
      </c>
      <c r="B6" s="20" t="s">
        <v>135</v>
      </c>
      <c r="C6" s="20" t="s">
        <v>142</v>
      </c>
      <c r="D6" t="s">
        <v>114</v>
      </c>
      <c r="E6">
        <v>1234</v>
      </c>
      <c r="F6" t="s">
        <v>143</v>
      </c>
      <c r="G6" t="s">
        <v>55</v>
      </c>
      <c r="H6" t="s">
        <v>144</v>
      </c>
      <c r="I6" s="21">
        <v>52.3</v>
      </c>
      <c r="J6" t="s">
        <v>47</v>
      </c>
      <c r="K6" s="22">
        <v>1</v>
      </c>
      <c r="L6" s="21">
        <f t="shared" si="0"/>
        <v>52.3</v>
      </c>
      <c r="M6" s="21">
        <f>L6*Settings!$C$8</f>
        <v>0</v>
      </c>
      <c r="N6" t="s">
        <v>76</v>
      </c>
      <c r="O6" t="s">
        <v>86</v>
      </c>
      <c r="Q6" t="s">
        <v>78</v>
      </c>
      <c r="T6" t="s">
        <v>77</v>
      </c>
      <c r="U6" t="s">
        <v>145</v>
      </c>
      <c r="V6" t="s">
        <v>126</v>
      </c>
      <c r="W6" s="23" t="s">
        <v>146</v>
      </c>
    </row>
    <row r="7" ht="15" customHeight="1">
      <c r="A7" t="s">
        <v>147</v>
      </c>
      <c r="B7" s="20" t="s">
        <v>142</v>
      </c>
      <c r="C7" s="20" t="s">
        <v>148</v>
      </c>
      <c r="D7" t="s">
        <v>122</v>
      </c>
      <c r="E7">
        <v>5678</v>
      </c>
      <c r="F7" t="s">
        <v>149</v>
      </c>
      <c r="G7" t="s">
        <v>72</v>
      </c>
      <c r="H7" t="s">
        <v>150</v>
      </c>
      <c r="I7" s="21">
        <v>659.88</v>
      </c>
      <c r="J7" t="s">
        <v>47</v>
      </c>
      <c r="K7" s="22">
        <v>1</v>
      </c>
      <c r="L7" s="21">
        <f t="shared" si="0"/>
        <v>659.88</v>
      </c>
      <c r="M7" s="21">
        <f>L7*Settings!$C$8</f>
        <v>0</v>
      </c>
      <c r="N7" t="s">
        <v>78</v>
      </c>
      <c r="O7" t="s">
        <v>88</v>
      </c>
      <c r="Q7" t="s">
        <v>78</v>
      </c>
      <c r="T7" t="s">
        <v>77</v>
      </c>
      <c r="U7" t="s">
        <v>151</v>
      </c>
      <c r="V7" t="s">
        <v>118</v>
      </c>
      <c r="W7" s="23" t="s">
        <v>152</v>
      </c>
    </row>
    <row r="8" ht="15" customHeight="1">
      <c r="A8" t="s">
        <v>153</v>
      </c>
      <c r="B8" s="20" t="s">
        <v>148</v>
      </c>
      <c r="C8" s="20" t="s">
        <v>154</v>
      </c>
      <c r="D8" t="s">
        <v>114</v>
      </c>
      <c r="E8">
        <v>1234</v>
      </c>
      <c r="F8" t="s">
        <v>155</v>
      </c>
      <c r="G8" t="s">
        <v>60</v>
      </c>
      <c r="H8" t="s">
        <v>156</v>
      </c>
      <c r="I8" s="21">
        <v>67.45</v>
      </c>
      <c r="J8" t="s">
        <v>47</v>
      </c>
      <c r="K8" s="22">
        <v>1</v>
      </c>
      <c r="L8" s="21">
        <f t="shared" si="0"/>
        <v>67.45</v>
      </c>
      <c r="M8" s="21">
        <f>L8*Settings!$C$8</f>
        <v>0</v>
      </c>
      <c r="N8" t="s">
        <v>76</v>
      </c>
      <c r="O8" t="s">
        <v>87</v>
      </c>
      <c r="Q8" t="s">
        <v>78</v>
      </c>
      <c r="T8" t="s">
        <v>77</v>
      </c>
      <c r="V8" t="s">
        <v>157</v>
      </c>
      <c r="W8" s="23" t="s">
        <v>158</v>
      </c>
    </row>
    <row r="9" ht="15" customHeight="1">
      <c r="A9" t="s">
        <v>159</v>
      </c>
      <c r="B9" s="20" t="s">
        <v>160</v>
      </c>
      <c r="C9" s="20" t="s">
        <v>161</v>
      </c>
      <c r="D9" t="s">
        <v>136</v>
      </c>
      <c r="E9">
        <v>9012</v>
      </c>
      <c r="F9" t="s">
        <v>162</v>
      </c>
      <c r="G9" t="s">
        <v>64</v>
      </c>
      <c r="H9" t="s">
        <v>163</v>
      </c>
      <c r="I9" s="21">
        <v>234.56</v>
      </c>
      <c r="J9" t="s">
        <v>47</v>
      </c>
      <c r="K9" s="22">
        <v>1</v>
      </c>
      <c r="L9" s="21">
        <f t="shared" si="0"/>
        <v>234.56</v>
      </c>
      <c r="M9" s="21">
        <f>L9*Settings!$C$8</f>
        <v>0</v>
      </c>
      <c r="N9" t="s">
        <v>78</v>
      </c>
      <c r="O9" t="s">
        <v>83</v>
      </c>
      <c r="Q9" t="s">
        <v>78</v>
      </c>
      <c r="T9" t="s">
        <v>77</v>
      </c>
      <c r="U9" t="s">
        <v>164</v>
      </c>
      <c r="V9" t="s">
        <v>118</v>
      </c>
      <c r="W9" s="23" t="s">
        <v>165</v>
      </c>
    </row>
    <row r="10" ht="15" customHeight="1">
      <c r="A10" t="s">
        <v>166</v>
      </c>
      <c r="B10" s="20" t="s">
        <v>161</v>
      </c>
      <c r="C10" s="20" t="s">
        <v>167</v>
      </c>
      <c r="D10" t="s">
        <v>114</v>
      </c>
      <c r="E10">
        <v>1234</v>
      </c>
      <c r="F10" t="s">
        <v>168</v>
      </c>
      <c r="G10" t="s">
        <v>71</v>
      </c>
      <c r="H10" t="s">
        <v>169</v>
      </c>
      <c r="I10" s="21">
        <v>189.99</v>
      </c>
      <c r="J10" t="s">
        <v>47</v>
      </c>
      <c r="K10" s="22">
        <v>1</v>
      </c>
      <c r="L10" s="21">
        <f t="shared" si="0"/>
        <v>189.99</v>
      </c>
      <c r="M10" s="21">
        <f>L10*Settings!$C$8</f>
        <v>0</v>
      </c>
      <c r="N10" t="s">
        <v>78</v>
      </c>
      <c r="O10" t="s">
        <v>88</v>
      </c>
      <c r="Q10" t="s">
        <v>78</v>
      </c>
      <c r="T10" t="s">
        <v>77</v>
      </c>
      <c r="U10" t="s">
        <v>170</v>
      </c>
      <c r="V10" t="s">
        <v>118</v>
      </c>
      <c r="W10" s="23" t="s">
        <v>171</v>
      </c>
    </row>
    <row r="11" ht="15" customHeight="1">
      <c r="A11" t="s">
        <v>172</v>
      </c>
      <c r="B11" s="20" t="s">
        <v>167</v>
      </c>
      <c r="C11" s="20" t="s">
        <v>173</v>
      </c>
      <c r="D11" t="s">
        <v>122</v>
      </c>
      <c r="E11">
        <v>5678</v>
      </c>
      <c r="F11" t="s">
        <v>174</v>
      </c>
      <c r="G11" t="s">
        <v>68</v>
      </c>
      <c r="H11" t="s">
        <v>175</v>
      </c>
      <c r="I11" s="21">
        <v>1500</v>
      </c>
      <c r="J11" t="s">
        <v>47</v>
      </c>
      <c r="K11" s="22">
        <v>1</v>
      </c>
      <c r="L11" s="21">
        <f t="shared" si="0"/>
        <v>1500</v>
      </c>
      <c r="M11" s="21">
        <f>L11*Settings!$C$8</f>
        <v>0</v>
      </c>
      <c r="N11" t="s">
        <v>78</v>
      </c>
      <c r="O11" t="s">
        <v>85</v>
      </c>
      <c r="Q11" t="s">
        <v>78</v>
      </c>
      <c r="T11" t="s">
        <v>77</v>
      </c>
      <c r="U11" t="s">
        <v>176</v>
      </c>
      <c r="V11" t="s">
        <v>177</v>
      </c>
      <c r="W11" s="23" t="s">
        <v>178</v>
      </c>
    </row>
    <row r="12" ht="15" customHeight="1">
      <c r="A12" t="s">
        <v>179</v>
      </c>
      <c r="B12" s="20" t="s">
        <v>173</v>
      </c>
      <c r="C12" s="20" t="s">
        <v>180</v>
      </c>
      <c r="D12" t="s">
        <v>114</v>
      </c>
      <c r="E12">
        <v>1234</v>
      </c>
      <c r="F12" t="s">
        <v>181</v>
      </c>
      <c r="G12" t="s">
        <v>55</v>
      </c>
      <c r="H12" t="s">
        <v>182</v>
      </c>
      <c r="I12" s="21">
        <v>78.5</v>
      </c>
      <c r="J12" t="s">
        <v>47</v>
      </c>
      <c r="K12" s="22">
        <v>1</v>
      </c>
      <c r="L12" s="21">
        <f t="shared" si="0"/>
        <v>78.5</v>
      </c>
      <c r="M12" s="21">
        <f>L12*Settings!$C$8</f>
        <v>0</v>
      </c>
      <c r="N12" t="s">
        <v>76</v>
      </c>
      <c r="O12" t="s">
        <v>86</v>
      </c>
      <c r="Q12" t="s">
        <v>78</v>
      </c>
      <c r="T12" t="s">
        <v>77</v>
      </c>
      <c r="V12" t="s">
        <v>126</v>
      </c>
      <c r="W12" s="23" t="s">
        <v>183</v>
      </c>
    </row>
    <row r="13" ht="15" customHeight="1">
      <c r="A13" t="s">
        <v>184</v>
      </c>
      <c r="B13" s="20" t="s">
        <v>185</v>
      </c>
      <c r="C13" s="20" t="s">
        <v>186</v>
      </c>
      <c r="D13" t="s">
        <v>136</v>
      </c>
      <c r="E13">
        <v>9012</v>
      </c>
      <c r="F13" t="s">
        <v>115</v>
      </c>
      <c r="G13" t="s">
        <v>64</v>
      </c>
      <c r="H13" t="s">
        <v>187</v>
      </c>
      <c r="I13" s="21">
        <v>299.97</v>
      </c>
      <c r="J13" t="s">
        <v>47</v>
      </c>
      <c r="K13" s="22">
        <v>1</v>
      </c>
      <c r="L13" s="21">
        <f t="shared" si="0"/>
        <v>299.97</v>
      </c>
      <c r="M13" s="21">
        <f>L13*Settings!$C$8</f>
        <v>0</v>
      </c>
      <c r="N13" t="s">
        <v>78</v>
      </c>
      <c r="O13" t="s">
        <v>88</v>
      </c>
      <c r="Q13" t="s">
        <v>78</v>
      </c>
      <c r="T13" t="s">
        <v>79</v>
      </c>
      <c r="U13" t="s">
        <v>188</v>
      </c>
      <c r="V13" t="s">
        <v>118</v>
      </c>
      <c r="W13" s="23" t="s">
        <v>189</v>
      </c>
    </row>
    <row r="14" ht="15" customHeight="1">
      <c r="A14" t="s">
        <v>190</v>
      </c>
      <c r="B14" s="20" t="s">
        <v>186</v>
      </c>
      <c r="C14" s="20" t="s">
        <v>191</v>
      </c>
      <c r="D14" t="s">
        <v>122</v>
      </c>
      <c r="E14">
        <v>5678</v>
      </c>
      <c r="F14" t="s">
        <v>192</v>
      </c>
      <c r="G14" t="s">
        <v>72</v>
      </c>
      <c r="H14" t="s">
        <v>193</v>
      </c>
      <c r="I14" s="21">
        <v>199.9</v>
      </c>
      <c r="J14" t="s">
        <v>47</v>
      </c>
      <c r="K14" s="22">
        <v>1</v>
      </c>
      <c r="L14" s="21">
        <f t="shared" si="0"/>
        <v>199.9</v>
      </c>
      <c r="M14" s="21">
        <f>L14*Settings!$C$8</f>
        <v>0</v>
      </c>
      <c r="N14" t="s">
        <v>78</v>
      </c>
      <c r="O14" t="s">
        <v>88</v>
      </c>
      <c r="Q14" t="s">
        <v>78</v>
      </c>
      <c r="T14" t="s">
        <v>77</v>
      </c>
      <c r="U14" t="s">
        <v>194</v>
      </c>
      <c r="V14" t="s">
        <v>118</v>
      </c>
      <c r="W14" s="23" t="s">
        <v>195</v>
      </c>
    </row>
    <row r="15" ht="15" customHeight="1">
      <c r="A15" t="s">
        <v>196</v>
      </c>
      <c r="B15" s="20" t="s">
        <v>197</v>
      </c>
      <c r="C15" s="20" t="s">
        <v>198</v>
      </c>
      <c r="D15" t="s">
        <v>114</v>
      </c>
      <c r="E15">
        <v>1234</v>
      </c>
      <c r="F15" t="s">
        <v>199</v>
      </c>
      <c r="G15" t="s">
        <v>60</v>
      </c>
      <c r="H15" t="s">
        <v>200</v>
      </c>
      <c r="I15" s="21">
        <v>892.34</v>
      </c>
      <c r="J15" t="s">
        <v>47</v>
      </c>
      <c r="K15" s="22">
        <v>1</v>
      </c>
      <c r="L15" s="21">
        <f t="shared" si="0"/>
        <v>892.34</v>
      </c>
      <c r="M15" s="21">
        <f>L15*Settings!$C$8</f>
        <v>0</v>
      </c>
      <c r="N15" t="s">
        <v>78</v>
      </c>
      <c r="O15" t="s">
        <v>83</v>
      </c>
      <c r="Q15" t="s">
        <v>78</v>
      </c>
      <c r="T15" t="s">
        <v>77</v>
      </c>
      <c r="U15" t="s">
        <v>201</v>
      </c>
      <c r="V15" t="s">
        <v>157</v>
      </c>
      <c r="W15" s="23" t="s">
        <v>202</v>
      </c>
    </row>
    <row r="16" ht="15" customHeight="1">
      <c r="A16" t="s">
        <v>203</v>
      </c>
      <c r="B16" s="20" t="s">
        <v>198</v>
      </c>
      <c r="C16" s="20" t="s">
        <v>204</v>
      </c>
      <c r="D16" t="s">
        <v>136</v>
      </c>
      <c r="E16">
        <v>9012</v>
      </c>
      <c r="F16" t="s">
        <v>115</v>
      </c>
      <c r="G16" t="s">
        <v>73</v>
      </c>
      <c r="H16" t="s">
        <v>205</v>
      </c>
      <c r="I16" s="21">
        <v>-45</v>
      </c>
      <c r="J16" t="s">
        <v>47</v>
      </c>
      <c r="K16" s="22">
        <v>1</v>
      </c>
      <c r="L16" s="21">
        <f t="shared" si="0"/>
        <v>-45</v>
      </c>
      <c r="M16" s="21">
        <f>L16*Settings!$C$8</f>
        <v>0</v>
      </c>
      <c r="N16" t="s">
        <v>78</v>
      </c>
      <c r="O16" t="s">
        <v>83</v>
      </c>
      <c r="Q16" t="s">
        <v>78</v>
      </c>
      <c r="T16" t="s">
        <v>77</v>
      </c>
      <c r="U16" t="s">
        <v>206</v>
      </c>
      <c r="V16" t="s">
        <v>118</v>
      </c>
      <c r="W16" s="23" t="s">
        <v>207</v>
      </c>
    </row>
    <row r="17" ht="15" customHeight="1">
      <c r="A17" t="s">
        <v>208</v>
      </c>
      <c r="B17" s="20" t="s">
        <v>204</v>
      </c>
      <c r="C17" s="20" t="s">
        <v>209</v>
      </c>
      <c r="D17" t="s">
        <v>114</v>
      </c>
      <c r="E17">
        <v>1234</v>
      </c>
      <c r="F17" t="s">
        <v>210</v>
      </c>
      <c r="G17" t="s">
        <v>68</v>
      </c>
      <c r="H17" t="s">
        <v>211</v>
      </c>
      <c r="I17" s="21">
        <v>599</v>
      </c>
      <c r="J17" t="s">
        <v>47</v>
      </c>
      <c r="K17" s="22">
        <v>1</v>
      </c>
      <c r="L17" s="21">
        <f t="shared" si="0"/>
        <v>599</v>
      </c>
      <c r="M17" s="21">
        <f>L17*Settings!$C$8</f>
        <v>0</v>
      </c>
      <c r="N17" t="s">
        <v>78</v>
      </c>
      <c r="O17" t="s">
        <v>88</v>
      </c>
      <c r="Q17" t="s">
        <v>78</v>
      </c>
      <c r="T17" t="s">
        <v>77</v>
      </c>
      <c r="U17" t="s">
        <v>212</v>
      </c>
      <c r="V17" t="s">
        <v>213</v>
      </c>
      <c r="W17" s="23" t="s">
        <v>214</v>
      </c>
    </row>
    <row r="18" ht="15" customHeight="1">
      <c r="A18" t="s">
        <v>215</v>
      </c>
      <c r="B18" s="20" t="s">
        <v>216</v>
      </c>
      <c r="C18" s="20" t="s">
        <v>217</v>
      </c>
      <c r="D18" t="s">
        <v>122</v>
      </c>
      <c r="E18">
        <v>5678</v>
      </c>
      <c r="F18" t="s">
        <v>218</v>
      </c>
      <c r="G18" t="s">
        <v>64</v>
      </c>
      <c r="H18" t="s">
        <v>219</v>
      </c>
      <c r="I18" s="21">
        <v>349.99</v>
      </c>
      <c r="J18" t="s">
        <v>47</v>
      </c>
      <c r="K18" s="22">
        <v>1</v>
      </c>
      <c r="L18" s="21">
        <f t="shared" si="0"/>
        <v>349.99</v>
      </c>
      <c r="M18" s="21">
        <f>L18*Settings!$C$8</f>
        <v>0</v>
      </c>
      <c r="N18" t="s">
        <v>78</v>
      </c>
      <c r="O18" t="s">
        <v>84</v>
      </c>
      <c r="Q18" t="s">
        <v>78</v>
      </c>
      <c r="T18" t="s">
        <v>81</v>
      </c>
      <c r="U18" t="s">
        <v>220</v>
      </c>
      <c r="V18" t="s">
        <v>118</v>
      </c>
      <c r="W18" s="23" t="s">
        <v>221</v>
      </c>
    </row>
    <row r="19" ht="15" customHeight="1">
      <c r="A19" t="s">
        <v>222</v>
      </c>
      <c r="B19" s="20" t="s">
        <v>217</v>
      </c>
      <c r="C19" s="20" t="s">
        <v>223</v>
      </c>
      <c r="D19" t="s">
        <v>114</v>
      </c>
      <c r="E19">
        <v>1234</v>
      </c>
      <c r="F19" t="s">
        <v>224</v>
      </c>
      <c r="G19" t="s">
        <v>71</v>
      </c>
      <c r="H19" t="s">
        <v>225</v>
      </c>
      <c r="I19" s="21">
        <v>129.99</v>
      </c>
      <c r="J19" t="s">
        <v>47</v>
      </c>
      <c r="K19" s="22">
        <v>1</v>
      </c>
      <c r="L19" s="21">
        <f t="shared" si="0"/>
        <v>129.99</v>
      </c>
      <c r="M19" s="21">
        <f>L19*Settings!$C$8</f>
        <v>0</v>
      </c>
      <c r="N19" t="s">
        <v>78</v>
      </c>
      <c r="O19" t="s">
        <v>88</v>
      </c>
      <c r="Q19" t="s">
        <v>78</v>
      </c>
      <c r="T19" t="s">
        <v>77</v>
      </c>
      <c r="U19" t="s">
        <v>226</v>
      </c>
      <c r="V19" t="s">
        <v>118</v>
      </c>
      <c r="W19" s="23" t="s">
        <v>227</v>
      </c>
    </row>
    <row r="20" ht="15" customHeight="1"/>
    <row r="21" ht="15" customHeight="1"/>
  </sheetData>
  <printOptions/>
  <pageMargins left="0.7" right="0.7" top="0.75" bottom="0.75" header="0.3" footer="0.3"/>
  <pageSetup paperSize="1" orientation="portrait"/>
  <headerFooter>
    <oddHeader>&amp;L&amp;C&amp;R</oddHeader>
    <oddFooter>&amp;L&amp;C&amp;R</oddFooter>
  </headerFooter>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8C3FC87-6BDF-CC06-74C6-DAC151040354}" mc:Ignorable="x14ac xr xr2 xr3">
  <dimension ref="A1:GR1000"/>
  <sheetViews>
    <sheetView topLeftCell="A1" workbookViewId="0">
      <selection activeCell="A2" sqref="A2"/>
    </sheetView>
  </sheetViews>
  <sheetFormatPr defaultRowHeight="15" defaultColWidth="8.8515625" customHeight="1"/>
  <cols>
    <col min="1" max="1" width="17.140625" customWidth="1"/>
    <col min="2" max="2" width="14.28125" customWidth="1"/>
    <col min="3" max="3" width="28.57421875" customWidth="1"/>
    <col min="4" max="4" width="14.28125" customWidth="1"/>
    <col min="5" max="6" width="11.421875" customWidth="1"/>
    <col min="7" max="7" width="17.140625" customWidth="1"/>
  </cols>
  <sheetData>
    <row r="1" ht="15" customHeight="1">
      <c r="A1" s="19" t="s">
        <v>228</v>
      </c>
      <c r="B1" s="19" t="s">
        <v>91</v>
      </c>
      <c r="C1" s="19" t="s">
        <v>94</v>
      </c>
      <c r="D1" s="19" t="s">
        <v>97</v>
      </c>
      <c r="E1" s="19" t="s">
        <v>98</v>
      </c>
      <c r="F1" s="19" t="s">
        <v>229</v>
      </c>
      <c r="G1" s="19" t="s">
        <v>230</v>
      </c>
    </row>
    <row r="2" ht="15" customHeight="1">
      <c r="A2" s="24" t="s">
        <v>231</v>
      </c>
      <c r="B2" s="25" t="s">
        <v>113</v>
      </c>
      <c r="C2" s="24" t="s">
        <v>232</v>
      </c>
      <c r="D2" s="26">
        <v>156.78</v>
      </c>
      <c r="E2" s="24" t="s">
        <v>47</v>
      </c>
      <c r="F2" s="24">
        <v>1234</v>
      </c>
      <c r="G2" s="24" t="s">
        <v>111</v>
      </c>
    </row>
    <row r="3" ht="15" customHeight="1">
      <c r="A3" t="s">
        <v>233</v>
      </c>
      <c r="B3" s="20" t="s">
        <v>121</v>
      </c>
      <c r="C3" t="s">
        <v>234</v>
      </c>
      <c r="D3" s="21">
        <v>487.5</v>
      </c>
      <c r="E3" t="s">
        <v>47</v>
      </c>
      <c r="F3">
        <v>5678</v>
      </c>
    </row>
    <row r="4" ht="15" customHeight="1">
      <c r="A4" s="24" t="s">
        <v>235</v>
      </c>
      <c r="B4" s="25" t="s">
        <v>129</v>
      </c>
      <c r="C4" s="24" t="s">
        <v>236</v>
      </c>
      <c r="D4" s="26">
        <v>45.23</v>
      </c>
      <c r="E4" s="24" t="s">
        <v>47</v>
      </c>
      <c r="F4" s="24">
        <v>1234</v>
      </c>
      <c r="G4" s="24"/>
    </row>
    <row r="5" ht="15" customHeight="1">
      <c r="A5" t="s">
        <v>237</v>
      </c>
      <c r="B5" s="20" t="s">
        <v>148</v>
      </c>
      <c r="C5" t="s">
        <v>238</v>
      </c>
      <c r="D5" s="21">
        <v>659.88</v>
      </c>
      <c r="E5" t="s">
        <v>47</v>
      </c>
      <c r="F5">
        <v>5678</v>
      </c>
    </row>
    <row r="6" ht="15" customHeight="1">
      <c r="A6" s="24" t="s">
        <v>239</v>
      </c>
      <c r="B6" s="25" t="s">
        <v>185</v>
      </c>
      <c r="C6" s="24" t="s">
        <v>240</v>
      </c>
      <c r="D6" s="26">
        <v>125</v>
      </c>
      <c r="E6" s="24" t="s">
        <v>47</v>
      </c>
      <c r="F6" s="24">
        <v>1234</v>
      </c>
      <c r="G6" s="24"/>
    </row>
    <row r="7" ht="15" customHeight="1">
      <c r="A7" t="s">
        <v>241</v>
      </c>
      <c r="B7" s="20" t="s">
        <v>204</v>
      </c>
      <c r="C7" t="s">
        <v>242</v>
      </c>
      <c r="D7" s="21">
        <v>35</v>
      </c>
      <c r="E7" t="s">
        <v>47</v>
      </c>
      <c r="F7">
        <v>1234</v>
      </c>
    </row>
    <row r="8" ht="15" customHeight="1"/>
    <row r="9" ht="15" customHeight="1">
      <c r="A9" t="s">
        <v>243</v>
      </c>
    </row>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row r="846" ht="15" customHeight="1"/>
    <row r="847" ht="15" customHeight="1"/>
    <row r="848" ht="15" customHeight="1"/>
    <row r="849" ht="15" customHeight="1"/>
    <row r="850" ht="15" customHeight="1"/>
    <row r="851" ht="15" customHeight="1"/>
    <row r="852" ht="15" customHeight="1"/>
    <row r="853" ht="15" customHeight="1"/>
    <row r="854" ht="15" customHeight="1"/>
    <row r="855" ht="15" customHeight="1"/>
    <row r="856" ht="15" customHeight="1"/>
    <row r="857" ht="15" customHeight="1"/>
    <row r="858" ht="15" customHeight="1"/>
    <row r="859" ht="15" customHeight="1"/>
    <row r="860" ht="15" customHeight="1"/>
    <row r="861" ht="15" customHeight="1"/>
    <row r="862" ht="15" customHeight="1"/>
    <row r="863" ht="15" customHeight="1"/>
    <row r="864" ht="15" customHeight="1"/>
    <row r="865" ht="15" customHeight="1"/>
    <row r="866" ht="15" customHeight="1"/>
    <row r="867" ht="15" customHeight="1"/>
    <row r="868" ht="15" customHeight="1"/>
    <row r="869" ht="15" customHeight="1"/>
    <row r="870" ht="15" customHeight="1"/>
    <row r="871" ht="15" customHeight="1"/>
    <row r="872" ht="15" customHeight="1"/>
    <row r="873" ht="15" customHeight="1"/>
    <row r="874" ht="15" customHeight="1"/>
    <row r="875" ht="15" customHeight="1"/>
    <row r="876" ht="15" customHeight="1"/>
    <row r="877" ht="15" customHeight="1"/>
    <row r="878" ht="15" customHeight="1"/>
    <row r="879" ht="15" customHeight="1"/>
    <row r="880" ht="15" customHeight="1"/>
    <row r="881" ht="15" customHeight="1"/>
    <row r="882" ht="15" customHeight="1"/>
    <row r="883" ht="15" customHeight="1"/>
    <row r="884" ht="15" customHeight="1"/>
    <row r="885" ht="15" customHeight="1"/>
    <row r="886" ht="15" customHeight="1"/>
    <row r="887" ht="15" customHeight="1"/>
    <row r="888" ht="15" customHeight="1"/>
    <row r="889" ht="15" customHeight="1"/>
    <row r="890" ht="15" customHeight="1"/>
    <row r="891" ht="15" customHeight="1"/>
    <row r="892" ht="15" customHeight="1"/>
    <row r="893" ht="15" customHeight="1"/>
    <row r="894" ht="15" customHeight="1"/>
    <row r="895" ht="15" customHeight="1"/>
    <row r="896" ht="15" customHeight="1"/>
    <row r="897" ht="15" customHeight="1"/>
    <row r="898" ht="15" customHeight="1"/>
    <row r="899" ht="15" customHeight="1"/>
    <row r="900" ht="15" customHeight="1"/>
    <row r="901" ht="15" customHeight="1"/>
    <row r="902" ht="15" customHeight="1"/>
    <row r="903" ht="15" customHeight="1"/>
    <row r="904" ht="15" customHeight="1"/>
    <row r="905" ht="15" customHeight="1"/>
    <row r="906" ht="15" customHeight="1"/>
    <row r="907" ht="15" customHeight="1"/>
    <row r="908" ht="15" customHeight="1"/>
    <row r="909" ht="15" customHeight="1"/>
    <row r="910" ht="15" customHeight="1"/>
    <row r="911" ht="15" customHeight="1"/>
    <row r="912" ht="15" customHeight="1"/>
    <row r="913" ht="15" customHeight="1"/>
    <row r="914" ht="15" customHeight="1"/>
    <row r="915" ht="15" customHeight="1"/>
    <row r="916" ht="15" customHeight="1"/>
    <row r="917" ht="15" customHeight="1"/>
    <row r="918" ht="15" customHeight="1"/>
    <row r="919" ht="15" customHeight="1"/>
    <row r="920" ht="15" customHeight="1"/>
    <row r="921" ht="15" customHeight="1"/>
    <row r="922" ht="15" customHeight="1"/>
    <row r="923" ht="15" customHeight="1"/>
    <row r="924" ht="15" customHeight="1"/>
    <row r="925" ht="15" customHeight="1"/>
    <row r="926" ht="15" customHeight="1"/>
    <row r="927" ht="15" customHeight="1"/>
    <row r="928" ht="15" customHeight="1"/>
    <row r="929" ht="15" customHeight="1"/>
    <row r="930" ht="15" customHeight="1"/>
    <row r="931" ht="15" customHeight="1"/>
    <row r="932" ht="15" customHeight="1"/>
    <row r="933" ht="15" customHeight="1"/>
    <row r="934" ht="15" customHeight="1"/>
    <row r="935" ht="15" customHeight="1"/>
    <row r="936" ht="15" customHeight="1"/>
    <row r="937" ht="15" customHeight="1"/>
    <row r="938" ht="15" customHeight="1"/>
    <row r="939" ht="15" customHeight="1"/>
    <row r="940" ht="15" customHeight="1"/>
    <row r="941" ht="15" customHeight="1"/>
    <row r="942" ht="15" customHeight="1"/>
    <row r="943" ht="15" customHeight="1"/>
    <row r="944" ht="15" customHeight="1"/>
    <row r="945" ht="15" customHeight="1"/>
    <row r="946" ht="15" customHeight="1"/>
    <row r="947" ht="15" customHeight="1"/>
    <row r="948" ht="15" customHeight="1"/>
    <row r="949" ht="15" customHeight="1"/>
    <row r="950" ht="15" customHeight="1"/>
    <row r="951" ht="15" customHeight="1"/>
    <row r="952" ht="15" customHeight="1"/>
    <row r="953" ht="15" customHeight="1"/>
    <row r="954" ht="15" customHeight="1"/>
    <row r="955" ht="15" customHeight="1"/>
    <row r="956" ht="15" customHeight="1"/>
    <row r="957" ht="15" customHeight="1"/>
    <row r="958" ht="15" customHeight="1"/>
    <row r="959" ht="15" customHeight="1"/>
    <row r="960" ht="15" customHeight="1"/>
    <row r="961" ht="15" customHeight="1"/>
    <row r="962" ht="15" customHeight="1"/>
    <row r="963" ht="15" customHeight="1"/>
    <row r="964" ht="15" customHeight="1"/>
    <row r="965" ht="15" customHeight="1"/>
    <row r="966" ht="15" customHeight="1"/>
    <row r="967" ht="15" customHeight="1"/>
    <row r="968" ht="15" customHeight="1"/>
    <row r="969" ht="15" customHeight="1"/>
    <row r="970" ht="15" customHeight="1"/>
    <row r="971" ht="15" customHeight="1"/>
    <row r="972" ht="15" customHeight="1"/>
    <row r="973" ht="15" customHeight="1"/>
    <row r="974" ht="15" customHeight="1"/>
    <row r="975" ht="15" customHeight="1"/>
    <row r="976" ht="15" customHeight="1"/>
    <row r="977" ht="15" customHeight="1"/>
    <row r="978" ht="15" customHeight="1"/>
    <row r="979" ht="15" customHeight="1"/>
    <row r="980" ht="15" customHeight="1"/>
    <row r="981" ht="15" customHeight="1"/>
    <row r="982" ht="15" customHeight="1"/>
    <row r="983" ht="15" customHeight="1"/>
    <row r="984" ht="15" customHeight="1"/>
    <row r="985" ht="15" customHeight="1"/>
    <row r="986" ht="15" customHeight="1"/>
    <row r="987" ht="15" customHeight="1"/>
    <row r="988" ht="15" customHeight="1"/>
    <row r="989" ht="15" customHeight="1"/>
    <row r="990" ht="15" customHeight="1"/>
    <row r="991" ht="15" customHeight="1"/>
    <row r="992" ht="15" customHeight="1"/>
    <row r="993" ht="15" customHeight="1"/>
    <row r="994" ht="15" customHeight="1"/>
    <row r="995" ht="15" customHeight="1"/>
    <row r="996" ht="15" customHeight="1"/>
    <row r="997" ht="15" customHeight="1"/>
    <row r="998" ht="15" customHeight="1"/>
    <row r="999" ht="15" customHeight="1"/>
    <row r="1000" ht="15" customHeight="1"/>
  </sheetData>
  <printOptions/>
  <pageMargins left="0.7" right="0.7" top="0.75" bottom="0.75" header="0.3" footer="0.3"/>
  <pageSetup paperSize="1" orientation="portrait"/>
  <headerFooter>
    <oddHeader>&amp;L&amp;C&amp;R</oddHeader>
    <oddFooter>&amp;L&amp;C&amp;R</oddFooter>
  </headerFooter>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C594CF8-CD78-1EB8-66A8-523DF9765C35}" mc:Ignorable="x14ac xr xr2 xr3">
  <dimension ref="A1:GR1000"/>
  <sheetViews>
    <sheetView topLeftCell="A1" workbookViewId="0">
      <selection activeCell="A1" sqref="A1:E1"/>
    </sheetView>
  </sheetViews>
  <sheetFormatPr defaultRowHeight="15" defaultColWidth="8.8515625" customHeight="1"/>
  <cols>
    <col min="1" max="1" width="22.8515625" customWidth="1"/>
    <col min="2" max="2" width="13.7109375" customWidth="1"/>
    <col min="3" max="3" width="20.57421875" customWidth="1"/>
    <col min="4" max="4" width="7.8515625" customWidth="1"/>
    <col min="5" max="5" width="10.140625" customWidth="1"/>
    <col min="6" max="6" width="12.7109375" customWidth="1"/>
    <col min="7" max="7" width="17.28125" customWidth="1"/>
    <col min="8" max="8" width="18.140625" customWidth="1"/>
    <col min="9" max="9" width="14.28125" customWidth="1"/>
    <col min="10" max="10" width="11.28125" customWidth="1"/>
  </cols>
  <sheetData>
    <row r="1" ht="21" customHeight="1">
      <c r="A1" s="27" t="s">
        <v>244</v>
      </c>
    </row>
    <row r="3" ht="15" customHeight="1">
      <c r="A3" s="28" t="s">
        <v>245</v>
      </c>
      <c r="B3" s="28" t="s">
        <v>246</v>
      </c>
      <c r="C3" s="28" t="s">
        <v>97</v>
      </c>
    </row>
    <row r="4" ht="15" customHeight="1">
      <c r="A4" s="29" t="s">
        <v>247</v>
      </c>
      <c r="B4" s="29">
        <f>COUNTA(StatementImport!A:A)-1</f>
        <v>7</v>
      </c>
      <c r="C4" s="30">
        <f>SUMIF(StatementImport!A:A,"&lt;&gt;StatementLineID",StatementImport!D:D)</f>
        <v>1509.39</v>
      </c>
    </row>
    <row r="5" ht="15" customHeight="1">
      <c r="A5" s="29" t="s">
        <v>248</v>
      </c>
      <c r="B5" s="29">
        <f>COUNTIF(G16:G21,"Exact")</f>
        <v>1</v>
      </c>
      <c r="C5" s="30">
        <f>SUMIF(G16:G21,"Exact",D16:D21)</f>
        <v>156.78</v>
      </c>
    </row>
    <row r="6" ht="15" customHeight="1">
      <c r="A6" s="29" t="s">
        <v>249</v>
      </c>
      <c r="B6" s="29">
        <f>COUNTIF(G16:G21,"Fuzzy")</f>
        <v>0</v>
      </c>
      <c r="C6" s="30">
        <f>SUMIF(G16:G21,"Fuzzy",D16:D21)</f>
        <v>0</v>
      </c>
    </row>
    <row r="7" ht="15" customHeight="1">
      <c r="A7" s="29" t="s">
        <v>250</v>
      </c>
      <c r="B7" s="29">
        <f>COUNTIF(G16:G21,"Unmatched")</f>
        <v>0</v>
      </c>
      <c r="C7" s="30">
        <f>SUMIF(G16:G21,"Unmatched",D16:D21)</f>
        <v>0</v>
      </c>
    </row>
    <row r="8" ht="15" customHeight="1">
      <c r="A8" s="29" t="s">
        <v>251</v>
      </c>
      <c r="B8" s="29">
        <f>COUNTA(Transactions!A:A)-1</f>
        <v>18</v>
      </c>
      <c r="C8" s="30">
        <f>SUM(Transactions!L:L)</f>
        <v>6296.38</v>
      </c>
    </row>
    <row r="9" ht="15" customHeight="1">
      <c r="A9" s="29" t="s">
        <v>252</v>
      </c>
      <c r="B9" s="29">
        <f>COUNTIF(Transactions!W:W,"Yes")</f>
        <v>0</v>
      </c>
      <c r="C9" s="30">
        <f>SUMIF(Transactions!W:W,"Yes",Transactions!L:L)</f>
        <v>0</v>
      </c>
    </row>
    <row r="10" ht="15" customHeight="1">
      <c r="A10" s="29" t="s">
        <v>253</v>
      </c>
      <c r="B10" s="29">
        <f>COUNTIF(Transactions!W:W,"No")</f>
        <v>0</v>
      </c>
      <c r="C10" s="30">
        <f>SUMIF(Transactions!W:W,"No",Transactions!L:L)</f>
        <v>0</v>
      </c>
    </row>
    <row r="11" ht="15" customHeight="1">
      <c r="A11" s="29"/>
      <c r="B11" s="29"/>
      <c r="C11" s="29"/>
    </row>
    <row r="12" ht="15" customHeight="1">
      <c r="A12" s="29" t="s">
        <v>254</v>
      </c>
      <c r="B12" s="29"/>
      <c r="C12" s="31">
        <f>C4-C9</f>
        <v>1509.39</v>
      </c>
    </row>
    <row r="14" ht="18.75" customHeight="1">
      <c r="A14" s="32" t="s">
        <v>255</v>
      </c>
    </row>
    <row r="15" ht="15" customHeight="1">
      <c r="A15" s="28" t="s">
        <v>228</v>
      </c>
      <c r="B15" s="28" t="s">
        <v>91</v>
      </c>
      <c r="C15" s="28" t="s">
        <v>94</v>
      </c>
      <c r="D15" s="28" t="s">
        <v>97</v>
      </c>
      <c r="E15" s="28" t="s">
        <v>229</v>
      </c>
      <c r="F15" s="28" t="s">
        <v>230</v>
      </c>
      <c r="G15" s="28" t="s">
        <v>256</v>
      </c>
      <c r="H15" s="28" t="s">
        <v>257</v>
      </c>
      <c r="I15" s="28" t="s">
        <v>258</v>
      </c>
      <c r="J15" s="28" t="s">
        <v>259</v>
      </c>
    </row>
    <row r="16" ht="15" customHeight="1">
      <c r="A16" s="29" t="str">
        <f>StatementImport!A2</f>
        <v>STMT-001</v>
      </c>
      <c r="B16" s="33" t="str">
        <f>StatementImport!B2</f>
        <v>2024-12-02</v>
      </c>
      <c r="C16" s="29" t="str">
        <f>StatementImport!C2</f>
        <v>AMAZON.COM</v>
      </c>
      <c r="D16" s="30">
        <f>StatementImport!D2</f>
        <v>156.78</v>
      </c>
      <c r="E16" s="29" t="str">
        <f>StatementImport!E2</f>
        <v>USD</v>
      </c>
      <c r="F16" s="29" t="str">
        <f>StatementImport!G2</f>
        <v>TXN-2024-001</v>
      </c>
      <c r="G16" s="34" t="str">
        <f>_xlfn.IFERROR(IF(_xlfn.XLOOKUP(F16,Transactions!$A:$A,Transactions!$A:$A,"")&lt;&gt;"","Exact",IF(SUMPRODUCT((Transactions!$L:$L=D16)*(Transactions!$E:$E=E16)*(ABS(Transactions!$C:$C-B16)&lt;=2))&gt;0,"Fuzzy","Unmatched")),IF(NOT(ISERROR(MATCH(F16,Transactions!$A:$A,0))),"Exact",IF(SUMPRODUCT((Transactions!$L:$L=D16)*(Transactions!$E:$E=E16)*(ABS(Transactions!$C:$C-B16)&lt;=2))&gt;0,"Fuzzy","Unmatched")))</f>
        <v>Exact</v>
      </c>
      <c r="H16" s="29" t="str">
        <f t="shared" si="0" ref="H16:H21">IF(G16="Exact","Reference ID match",IF(G16="Fuzzy","Amount + Card + Date match","No matching transaction found"))</f>
        <v>Reference ID match</v>
      </c>
      <c r="I16" s="29" t="str">
        <f>IF(G16="Exact",F16,IF(G16="Fuzzy",INDEX(Transactions!$A:$A,MATCH(1,(Transactions!$L:$L=D16)*(Transactions!$E:$E=E16)*(ABS(Transactions!$C:$C-B16)&lt;=2),0)),""))</f>
        <v>TXN-2024-001</v>
      </c>
      <c r="J16" s="30">
        <f>IF(G16="Unmatched",D16,D16-_xlfn.IFERROR(INDEX(Transactions!$L:$L,MATCH(I16,Transactions!$A:$A,0)),0))</f>
        <v>0</v>
      </c>
    </row>
    <row r="17" ht="15" customHeight="1">
      <c r="A17" s="29" t="str">
        <f>StatementImport!A3</f>
        <v>STMT-002</v>
      </c>
      <c r="B17" s="33" t="str">
        <f>StatementImport!B3</f>
        <v>2024-12-03</v>
      </c>
      <c r="C17" s="29" t="str">
        <f>StatementImport!C3</f>
        <v>DELTA AIR LINES</v>
      </c>
      <c r="D17" s="30">
        <f>StatementImport!D3</f>
        <v>487.5</v>
      </c>
      <c r="E17" s="29" t="str">
        <f>StatementImport!E3</f>
        <v>USD</v>
      </c>
      <c r="F17" s="29">
        <f>StatementImport!G3</f>
        <v>0</v>
      </c>
      <c r="G17" s="29" t="e">
        <f>_xlfn.IFERROR(IF(_xlfn.XLOOKUP(F17,Transactions!$A:$A,Transactions!$A:$A,"")&lt;&gt;"","Exact",IF(SUMPRODUCT((Transactions!$L:$L=D17)*(Transactions!$E:$E=E17)*(ABS(Transactions!$C:$C-B17)&lt;=2))&gt;0,"Fuzzy","Unmatched")),IF(NOT(ISERROR(MATCH(F17,Transactions!$A:$A,0))),"Exact",IF(SUMPRODUCT((Transactions!$L:$L=D17)*(Transactions!$E:$E=E17)*(ABS(Transactions!$C:$C-B17)&lt;=2))&gt;0,"Fuzzy","Unmatched")))</f>
        <v>#VALUE!</v>
      </c>
      <c r="H17" s="29" t="e">
        <f t="shared" si="0"/>
        <v>#VALUE!</v>
      </c>
      <c r="I17" s="29" t="e">
        <f>IF(G17="Exact",F17,IF(G17="Fuzzy",INDEX(Transactions!$A:$A,MATCH(1,(Transactions!$L:$L=D17)*(Transactions!$E:$E=E17)*(ABS(Transactions!$C:$C-B17)&lt;=2),0)),""))</f>
        <v>#VALUE!</v>
      </c>
      <c r="J17" s="30" t="e">
        <f>IF(G17="Unmatched",D17,D17-_xlfn.IFERROR(INDEX(Transactions!$L:$L,MATCH(I17,Transactions!$A:$A,0)),0))</f>
        <v>#VALUE!</v>
      </c>
    </row>
    <row r="18" ht="15" customHeight="1">
      <c r="A18" s="29" t="str">
        <f>StatementImport!A4</f>
        <v>STMT-003</v>
      </c>
      <c r="B18" s="33" t="str">
        <f>StatementImport!B4</f>
        <v>2024-12-04</v>
      </c>
      <c r="C18" s="29" t="str">
        <f>StatementImport!C4</f>
        <v>STARBUCKS STORE</v>
      </c>
      <c r="D18" s="30">
        <f>StatementImport!D4</f>
        <v>45.23</v>
      </c>
      <c r="E18" s="29" t="str">
        <f>StatementImport!E4</f>
        <v>USD</v>
      </c>
      <c r="F18" s="29">
        <f>StatementImport!G4</f>
        <v>0</v>
      </c>
      <c r="G18" s="29" t="e">
        <f>_xlfn.IFERROR(IF(_xlfn.XLOOKUP(F18,Transactions!$A:$A,Transactions!$A:$A,"")&lt;&gt;"","Exact",IF(SUMPRODUCT((Transactions!$L:$L=D18)*(Transactions!$E:$E=E18)*(ABS(Transactions!$C:$C-B18)&lt;=2))&gt;0,"Fuzzy","Unmatched")),IF(NOT(ISERROR(MATCH(F18,Transactions!$A:$A,0))),"Exact",IF(SUMPRODUCT((Transactions!$L:$L=D18)*(Transactions!$E:$E=E18)*(ABS(Transactions!$C:$C-B18)&lt;=2))&gt;0,"Fuzzy","Unmatched")))</f>
        <v>#VALUE!</v>
      </c>
      <c r="H18" s="29" t="e">
        <f t="shared" si="0"/>
        <v>#VALUE!</v>
      </c>
      <c r="I18" s="29" t="e">
        <f>IF(G18="Exact",F18,IF(G18="Fuzzy",INDEX(Transactions!$A:$A,MATCH(1,(Transactions!$L:$L=D18)*(Transactions!$E:$E=E18)*(ABS(Transactions!$C:$C-B18)&lt;=2),0)),""))</f>
        <v>#VALUE!</v>
      </c>
      <c r="J18" s="30" t="e">
        <f>IF(G18="Unmatched",D18,D18-_xlfn.IFERROR(INDEX(Transactions!$L:$L,MATCH(I18,Transactions!$A:$A,0)),0))</f>
        <v>#VALUE!</v>
      </c>
    </row>
    <row r="19" ht="15" customHeight="1">
      <c r="A19" s="29" t="str">
        <f>StatementImport!A5</f>
        <v>STMT-004</v>
      </c>
      <c r="B19" s="33" t="str">
        <f>StatementImport!B5</f>
        <v>2024-12-08</v>
      </c>
      <c r="C19" s="29" t="str">
        <f>StatementImport!C5</f>
        <v>ADOBE *CREATIVE</v>
      </c>
      <c r="D19" s="30">
        <f>StatementImport!D5</f>
        <v>659.88</v>
      </c>
      <c r="E19" s="29" t="str">
        <f>StatementImport!E5</f>
        <v>USD</v>
      </c>
      <c r="F19" s="29">
        <f>StatementImport!G5</f>
        <v>0</v>
      </c>
      <c r="G19" s="29" t="e">
        <f>_xlfn.IFERROR(IF(_xlfn.XLOOKUP(F19,Transactions!$A:$A,Transactions!$A:$A,"")&lt;&gt;"","Exact",IF(SUMPRODUCT((Transactions!$L:$L=D19)*(Transactions!$E:$E=E19)*(ABS(Transactions!$C:$C-B19)&lt;=2))&gt;0,"Fuzzy","Unmatched")),IF(NOT(ISERROR(MATCH(F19,Transactions!$A:$A,0))),"Exact",IF(SUMPRODUCT((Transactions!$L:$L=D19)*(Transactions!$E:$E=E19)*(ABS(Transactions!$C:$C-B19)&lt;=2))&gt;0,"Fuzzy","Unmatched")))</f>
        <v>#VALUE!</v>
      </c>
      <c r="H19" s="29" t="e">
        <f t="shared" si="0"/>
        <v>#VALUE!</v>
      </c>
      <c r="I19" s="29" t="e">
        <f>IF(G19="Exact",F19,IF(G19="Fuzzy",INDEX(Transactions!$A:$A,MATCH(1,(Transactions!$L:$L=D19)*(Transactions!$E:$E=E19)*(ABS(Transactions!$C:$C-B19)&lt;=2),0)),""))</f>
        <v>#VALUE!</v>
      </c>
      <c r="J19" s="30" t="e">
        <f>IF(G19="Unmatched",D19,D19-_xlfn.IFERROR(INDEX(Transactions!$L:$L,MATCH(I19,Transactions!$A:$A,0)),0))</f>
        <v>#VALUE!</v>
      </c>
    </row>
    <row r="20" ht="15" customHeight="1">
      <c r="A20" s="29" t="str">
        <f>StatementImport!A6</f>
        <v>STMT-005</v>
      </c>
      <c r="B20" s="33" t="str">
        <f>StatementImport!B6</f>
        <v>2024-12-15</v>
      </c>
      <c r="C20" s="29" t="str">
        <f>StatementImport!C6</f>
        <v>UNKNOWN MERCHANT</v>
      </c>
      <c r="D20" s="30">
        <f>StatementImport!D6</f>
        <v>125</v>
      </c>
      <c r="E20" s="29" t="str">
        <f>StatementImport!E6</f>
        <v>USD</v>
      </c>
      <c r="F20" s="29">
        <f>StatementImport!G6</f>
        <v>0</v>
      </c>
      <c r="G20" s="29" t="e">
        <f>_xlfn.IFERROR(IF(_xlfn.XLOOKUP(F20,Transactions!$A:$A,Transactions!$A:$A,"")&lt;&gt;"","Exact",IF(SUMPRODUCT((Transactions!$L:$L=D20)*(Transactions!$E:$E=E20)*(ABS(Transactions!$C:$C-B20)&lt;=2))&gt;0,"Fuzzy","Unmatched")),IF(NOT(ISERROR(MATCH(F20,Transactions!$A:$A,0))),"Exact",IF(SUMPRODUCT((Transactions!$L:$L=D20)*(Transactions!$E:$E=E20)*(ABS(Transactions!$C:$C-B20)&lt;=2))&gt;0,"Fuzzy","Unmatched")))</f>
        <v>#VALUE!</v>
      </c>
      <c r="H20" s="29" t="e">
        <f t="shared" si="0"/>
        <v>#VALUE!</v>
      </c>
      <c r="I20" s="29" t="e">
        <f>IF(G20="Exact",F20,IF(G20="Fuzzy",INDEX(Transactions!$A:$A,MATCH(1,(Transactions!$L:$L=D20)*(Transactions!$E:$E=E20)*(ABS(Transactions!$C:$C-B20)&lt;=2),0)),""))</f>
        <v>#VALUE!</v>
      </c>
      <c r="J20" s="30" t="e">
        <f>IF(G20="Unmatched",D20,D20-_xlfn.IFERROR(INDEX(Transactions!$L:$L,MATCH(I20,Transactions!$A:$A,0)),0))</f>
        <v>#VALUE!</v>
      </c>
    </row>
    <row r="21" ht="15" customHeight="1">
      <c r="A21" s="29" t="str">
        <f>StatementImport!A7</f>
        <v>STMT-006</v>
      </c>
      <c r="B21" s="33" t="str">
        <f>StatementImport!B7</f>
        <v>2024-12-20</v>
      </c>
      <c r="C21" s="29" t="str">
        <f>StatementImport!C7</f>
        <v>BANK FEE</v>
      </c>
      <c r="D21" s="30">
        <f>StatementImport!D7</f>
        <v>35</v>
      </c>
      <c r="E21" s="29" t="str">
        <f>StatementImport!E7</f>
        <v>USD</v>
      </c>
      <c r="F21" s="29">
        <f>StatementImport!G7</f>
        <v>0</v>
      </c>
      <c r="G21" s="29" t="e">
        <f>_xlfn.IFERROR(IF(_xlfn.XLOOKUP(F21,Transactions!$A:$A,Transactions!$A:$A,"")&lt;&gt;"","Exact",IF(SUMPRODUCT((Transactions!$L:$L=D21)*(Transactions!$E:$E=E21)*(ABS(Transactions!$C:$C-B21)&lt;=2))&gt;0,"Fuzzy","Unmatched")),IF(NOT(ISERROR(MATCH(F21,Transactions!$A:$A,0))),"Exact",IF(SUMPRODUCT((Transactions!$L:$L=D21)*(Transactions!$E:$E=E21)*(ABS(Transactions!$C:$C-B21)&lt;=2))&gt;0,"Fuzzy","Unmatched")))</f>
        <v>#VALUE!</v>
      </c>
      <c r="H21" s="29" t="e">
        <f t="shared" si="0"/>
        <v>#VALUE!</v>
      </c>
      <c r="I21" s="29" t="e">
        <f>IF(G21="Exact",F21,IF(G21="Fuzzy",INDEX(Transactions!$A:$A,MATCH(1,(Transactions!$L:$L=D21)*(Transactions!$E:$E=E21)*(ABS(Transactions!$C:$C-B21)&lt;=2),0)),""))</f>
        <v>#VALUE!</v>
      </c>
      <c r="J21" s="30" t="e">
        <f>IF(G21="Unmatched",D21,D21-_xlfn.IFERROR(INDEX(Transactions!$L:$L,MATCH(I21,Transactions!$A:$A,0)),0))</f>
        <v>#VALUE!</v>
      </c>
    </row>
  </sheetData>
  <mergeCells>
    <mergeCell ref="A1:E1"/>
    <mergeCell ref="A14:J14"/>
  </mergeCells>
  <printOptions/>
  <pageMargins left="0.7" right="0.7" top="0.75" bottom="0.75" header="0.3" footer="0.3"/>
  <pageSetup paperSize="1" orientation="portrait"/>
  <headerFooter>
    <oddHeader>&amp;L&amp;C&amp;R</oddHeader>
    <oddFooter>&amp;L&amp;C&amp;R</oddFooter>
  </headerFooter>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F7B618C-CB6E-DC48-9F48-BEC301F92A39}" mc:Ignorable="x14ac xr xr2 xr3">
  <dimension ref="A1:GR1000"/>
  <sheetViews>
    <sheetView topLeftCell="C1" workbookViewId="0">
      <selection activeCell="F5" sqref="F5"/>
    </sheetView>
  </sheetViews>
  <sheetFormatPr defaultRowHeight="15" defaultColWidth="8.8515625" customHeight="1"/>
  <cols>
    <col min="1" max="1" width="37.7109375" customWidth="1"/>
    <col min="2" max="2" width="13.00390625" customWidth="1"/>
    <col min="3" max="3" width="10.00390625" customWidth="1"/>
    <col min="5" max="5" width="35.140625" customWidth="1"/>
    <col min="6" max="6" width="7.8515625" customWidth="1"/>
    <col min="7" max="7" width="9.00390625" customWidth="1"/>
  </cols>
  <sheetData>
    <row r="1" ht="22.5" customHeight="1">
      <c r="A1" s="35" t="s">
        <v>262</v>
      </c>
    </row>
    <row r="3" ht="15" customHeight="1">
      <c r="A3" s="36" t="s">
        <v>263</v>
      </c>
      <c r="E3" s="36" t="s">
        <v>264</v>
      </c>
    </row>
    <row r="4" ht="15" customHeight="1">
      <c r="A4" s="37" t="s">
        <v>265</v>
      </c>
      <c r="B4" s="37" t="s">
        <v>266</v>
      </c>
      <c r="C4" s="37" t="s">
        <v>267</v>
      </c>
      <c r="E4" s="37" t="s">
        <v>94</v>
      </c>
      <c r="F4" s="37" t="s">
        <v>97</v>
      </c>
      <c r="G4" s="37" t="s">
        <v>246</v>
      </c>
    </row>
    <row r="5" ht="15" customHeight="1">
      <c r="A5" s="38" t="s">
        <v>55</v>
      </c>
      <c r="B5" s="39">
        <f>SUMIF(Transactions!$G:$G,"Travel",Transactions!$L:$L)</f>
        <v>1016.3</v>
      </c>
      <c r="C5" s="40">
        <f t="shared" si="0" ref="C5:C12">B5/$B$13</f>
        <v>0.161410207134893</v>
      </c>
      <c r="E5" s="38" t="s">
        <v>174</v>
      </c>
      <c r="F5" s="39">
        <f>SUMIF(Transactions!$F:$F,"Google Ads",Transactions!$L:$L)</f>
        <v>1500</v>
      </c>
      <c r="G5" s="41">
        <f>COUNTIF(Transactions!$F:$F,"Google Ads")</f>
        <v>1</v>
      </c>
    </row>
    <row r="6" ht="15" customHeight="1">
      <c r="A6" t="s">
        <v>60</v>
      </c>
      <c r="B6" s="21">
        <f>SUMIF(Transactions!$G:$G,"Meals",Transactions!$L:$L)</f>
        <v>1005.02</v>
      </c>
      <c r="C6" s="42">
        <f t="shared" si="0"/>
        <v>0.159618701539615</v>
      </c>
      <c r="E6" t="s">
        <v>199</v>
      </c>
      <c r="F6" s="21">
        <f>SUMIF(Transactions!$F:$F,"The Steakhouse",Transactions!$L:$L)</f>
        <v>892.34</v>
      </c>
      <c r="G6" s="43">
        <f>COUNTIF(Transactions!$F:$F,"The Steakhouse")</f>
        <v>1</v>
      </c>
    </row>
    <row r="7" ht="15" customHeight="1">
      <c r="A7" s="38" t="s">
        <v>64</v>
      </c>
      <c r="B7" s="39">
        <f>SUMIF(Transactions!$G:$G,"Office Supplies",Transactions!$L:$L)</f>
        <v>1041.3</v>
      </c>
      <c r="C7" s="40">
        <f t="shared" si="0"/>
        <v>0.165380742585422</v>
      </c>
      <c r="E7" s="38" t="s">
        <v>149</v>
      </c>
      <c r="F7" s="39">
        <f>SUMIF(Transactions!$F:$F,"Adobe Systems",Transactions!$L:$L)</f>
        <v>659.88</v>
      </c>
      <c r="G7" s="41">
        <f>COUNTIF(Transactions!$F:$F,"Adobe Systems")</f>
        <v>1</v>
      </c>
    </row>
    <row r="8" ht="15" customHeight="1">
      <c r="A8" t="s">
        <v>68</v>
      </c>
      <c r="B8" s="21">
        <f>SUMIF(Transactions!$G:$G,"Advertising",Transactions!$L:$L)</f>
        <v>2099</v>
      </c>
      <c r="C8" s="42">
        <f t="shared" si="0"/>
        <v>0.333366156426391</v>
      </c>
      <c r="E8" t="s">
        <v>210</v>
      </c>
      <c r="F8" s="21">
        <f>SUMIF(Transactions!$F:$F,"LinkedIn",Transactions!$L:$L)</f>
        <v>599</v>
      </c>
      <c r="G8" s="43">
        <f>COUNTIF(Transactions!$F:$F,"LinkedIn")</f>
        <v>1</v>
      </c>
    </row>
    <row r="9" ht="15" customHeight="1">
      <c r="A9" s="38" t="s">
        <v>71</v>
      </c>
      <c r="B9" s="39">
        <f>SUMIF(Transactions!$G:$G,"Utilities",Transactions!$L:$L)</f>
        <v>319.98</v>
      </c>
      <c r="C9" s="40">
        <f t="shared" si="0"/>
        <v>0.0508196773384072</v>
      </c>
      <c r="E9" s="38" t="s">
        <v>123</v>
      </c>
      <c r="F9" s="39">
        <f>SUMIF(Transactions!$F:$F,"Delta Airlines",Transactions!$L:$L)</f>
        <v>487.5</v>
      </c>
      <c r="G9" s="41">
        <f>COUNTIF(Transactions!$F:$F,"Delta Airlines")</f>
        <v>1</v>
      </c>
    </row>
    <row r="10" ht="15" customHeight="1">
      <c r="A10" t="s">
        <v>72</v>
      </c>
      <c r="B10" s="21">
        <f>SUMIF(Transactions!$G:$G,"Subscription",Transactions!$L:$L)</f>
        <v>859.78</v>
      </c>
      <c r="C10" s="42">
        <f t="shared" si="0"/>
        <v>0.136551478786223</v>
      </c>
      <c r="E10" t="s">
        <v>137</v>
      </c>
      <c r="F10" s="21">
        <f>SUMIF(Transactions!$F:$F,"Marriott Hotels",Transactions!$L:$L)</f>
        <v>398</v>
      </c>
      <c r="G10" s="43">
        <f>COUNTIF(Transactions!$F:$F,"Marriott Hotels")</f>
        <v>1</v>
      </c>
    </row>
    <row r="11" ht="15" customHeight="1">
      <c r="A11" s="38" t="s">
        <v>73</v>
      </c>
      <c r="B11" s="39">
        <f>SUMIF(Transactions!$G:$G,"Refunds",Transactions!$L:$L)</f>
        <v>-45</v>
      </c>
      <c r="C11" s="40">
        <f t="shared" si="0"/>
        <v>-0.00714696381095169</v>
      </c>
      <c r="E11" s="38" t="s">
        <v>115</v>
      </c>
      <c r="F11" s="39">
        <f>SUMIF(Transactions!$F:$F,"Amazon",Transactions!$L:$L)</f>
        <v>411.75</v>
      </c>
      <c r="G11" s="41">
        <f>COUNTIF(Transactions!$F:$F,"Amazon")</f>
        <v>3</v>
      </c>
    </row>
    <row r="12" ht="15" customHeight="1">
      <c r="A12" t="s">
        <v>69</v>
      </c>
      <c r="B12" s="21">
        <f>SUMIF(Transactions!$G:$G,"Other",Transactions!$L:$L)</f>
        <v>0</v>
      </c>
      <c r="C12" s="42">
        <f t="shared" si="0"/>
        <v>0</v>
      </c>
      <c r="E12" t="s">
        <v>218</v>
      </c>
      <c r="F12" s="21">
        <f>SUMIF(Transactions!$F:$F,"Best Buy",Transactions!$L:$L)</f>
        <v>349.99</v>
      </c>
      <c r="G12" s="43">
        <f>COUNTIF(Transactions!$F:$F,"Best Buy")</f>
        <v>1</v>
      </c>
    </row>
    <row r="13" ht="15" customHeight="1">
      <c r="A13" s="44" t="s">
        <v>268</v>
      </c>
      <c r="B13" s="45">
        <f t="shared" si="1" ref="B13:C13">SUM(B5:B12)</f>
        <v>6296.38</v>
      </c>
      <c r="C13" s="46">
        <f t="shared" si="1"/>
        <v>1</v>
      </c>
      <c r="E13" s="38" t="s">
        <v>162</v>
      </c>
      <c r="F13" s="39">
        <f>SUMIF(Transactions!$F:$F,"Office Depot",Transactions!$L:$L)</f>
        <v>234.56</v>
      </c>
      <c r="G13" s="41">
        <f>COUNTIF(Transactions!$F:$F,"Office Depot")</f>
        <v>1</v>
      </c>
    </row>
    <row r="14" ht="15" customHeight="1">
      <c r="E14" t="s">
        <v>192</v>
      </c>
      <c r="F14" s="21">
        <f>SUMIF(Transactions!$F:$F,"Zoom",Transactions!$L:$L)</f>
        <v>199.9</v>
      </c>
      <c r="G14" s="43">
        <f>COUNTIF(Transactions!$F:$F,"Zoom")</f>
        <v>1</v>
      </c>
    </row>
    <row r="15" ht="15" customHeight="1">
      <c r="A15" s="36" t="s">
        <v>269</v>
      </c>
    </row>
    <row r="16" ht="15" customHeight="1">
      <c r="A16" s="37" t="s">
        <v>270</v>
      </c>
      <c r="B16" s="37" t="s">
        <v>266</v>
      </c>
      <c r="C16" s="37" t="s">
        <v>267</v>
      </c>
      <c r="E16" s="36" t="s">
        <v>271</v>
      </c>
    </row>
    <row r="17" ht="15" customHeight="1">
      <c r="A17" s="38" t="s">
        <v>83</v>
      </c>
      <c r="B17" s="39">
        <f>SUMIF(Transactions!$O:$O,"General",Transactions!$L:$L)</f>
        <v>1127.13</v>
      </c>
      <c r="C17" s="40">
        <f t="shared" si="2" ref="C17:C22">B17/$B$23</f>
        <v>0.179012384894177</v>
      </c>
      <c r="E17" s="37" t="s">
        <v>272</v>
      </c>
      <c r="F17" s="37" t="s">
        <v>246</v>
      </c>
      <c r="G17" s="37" t="s">
        <v>97</v>
      </c>
    </row>
    <row r="18" ht="15" customHeight="1">
      <c r="A18" t="s">
        <v>84</v>
      </c>
      <c r="B18" s="21">
        <f>SUMIF(Transactions!$O:$O,"Project Alpha",Transactions!$L:$L)</f>
        <v>506.77</v>
      </c>
      <c r="C18" s="42">
        <f t="shared" si="2"/>
        <v>0.0804859300105775</v>
      </c>
      <c r="E18" s="38" t="s">
        <v>104</v>
      </c>
      <c r="F18" s="41">
        <f>COUNTIF(Transactions!$Q:$Q,"Yes")</f>
        <v>0</v>
      </c>
      <c r="G18" s="39">
        <f>SUMIF(Transactions!$Q:$Q,"Yes",Transactions!$L:$L)</f>
        <v>0</v>
      </c>
    </row>
    <row r="19" ht="15" customHeight="1">
      <c r="A19" s="38" t="s">
        <v>85</v>
      </c>
      <c r="B19" s="39">
        <f>SUMIF(Transactions!$O:$O,"Project Beta",Transactions!$L:$L)</f>
        <v>1500</v>
      </c>
      <c r="C19" s="40">
        <f t="shared" si="2"/>
        <v>0.238232127031723</v>
      </c>
      <c r="E19" t="s">
        <v>273</v>
      </c>
      <c r="F19" s="43">
        <f>COUNTIF(Transactions!$Q:$Q,"No")</f>
        <v>18</v>
      </c>
      <c r="G19" s="21">
        <f>SUMIF(Transactions!$Q:$Q,"No",Transactions!$L:$L)</f>
        <v>6296.38</v>
      </c>
    </row>
    <row r="20" ht="15" customHeight="1">
      <c r="A20" t="s">
        <v>86</v>
      </c>
      <c r="B20" s="21">
        <f>SUMIF(Transactions!$O:$O,"Client ABC",Transactions!$L:$L)</f>
        <v>1016.3</v>
      </c>
      <c r="C20" s="42">
        <f t="shared" si="2"/>
        <v>0.161410207134893</v>
      </c>
      <c r="E20" s="44" t="s">
        <v>268</v>
      </c>
      <c r="F20" s="47">
        <f t="shared" si="3" ref="F20:G20">SUM(F18:F19)</f>
        <v>18</v>
      </c>
      <c r="G20" s="45">
        <f t="shared" si="3"/>
        <v>6296.38</v>
      </c>
    </row>
    <row r="21" ht="15" customHeight="1">
      <c r="A21" s="38" t="s">
        <v>87</v>
      </c>
      <c r="B21" s="39">
        <f>SUMIF(Transactions!$O:$O,"Client XYZ",Transactions!$L:$L)</f>
        <v>67.45</v>
      </c>
      <c r="C21" s="40">
        <f t="shared" si="2"/>
        <v>0.0107125046455265</v>
      </c>
    </row>
    <row r="22" ht="15" customHeight="1">
      <c r="A22" t="s">
        <v>88</v>
      </c>
      <c r="B22" s="21">
        <f>SUMIF(Transactions!$O:$O,"Internal",Transactions!$L:$L)</f>
        <v>2078.73</v>
      </c>
      <c r="C22" s="42">
        <f t="shared" si="2"/>
        <v>0.330146846283102</v>
      </c>
    </row>
    <row r="23" ht="15" customHeight="1">
      <c r="A23" s="44" t="s">
        <v>268</v>
      </c>
      <c r="B23" s="45">
        <f t="shared" si="4" ref="B23:C23">SUM(B17:B22)</f>
        <v>6296.38</v>
      </c>
      <c r="C23" s="46">
        <f t="shared" si="4"/>
        <v>1</v>
      </c>
    </row>
  </sheetData>
  <mergeCells>
    <mergeCell ref="A1:H1"/>
  </mergeCells>
  <printOptions/>
  <pageMargins left="0.7" right="0.7" top="0.75" bottom="0.75" header="0.3" footer="0.3"/>
  <pageSetup paperSize="1" orientation="portrait"/>
  <headerFooter>
    <oddHeader>&amp;L&amp;C&amp;R</oddHeader>
    <oddFooter>&amp;L&amp;C&amp;R</oddFooter>
  </headerFooter>
  <drawing r:id="rId1"/>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101FA7D3-FFB9-8048-10D2-2EE9643D54C8}" mc:Ignorable="x14ac xr xr2 xr3">
  <dimension ref="A1:GR1000"/>
  <sheetViews>
    <sheetView topLeftCell="A1" workbookViewId="0">
      <selection activeCell="A1" sqref="A1:I1"/>
    </sheetView>
  </sheetViews>
  <sheetFormatPr defaultRowHeight="15" defaultColWidth="8.8515625" customHeight="1"/>
  <cols>
    <col min="1" max="1" width="14.28125" customWidth="1"/>
    <col min="2" max="2" width="17.140625" customWidth="1"/>
    <col min="3" max="3" width="21.421875" customWidth="1"/>
    <col min="4" max="5" width="14.28125" customWidth="1"/>
    <col min="6" max="6" width="12.8515625" customWidth="1"/>
    <col min="7" max="7" width="10.00390625" customWidth="1"/>
    <col min="8" max="8" width="14.28125" customWidth="1"/>
    <col min="9" max="9" width="10.00390625" customWidth="1"/>
  </cols>
  <sheetData>
    <row r="1" ht="25.5" customHeight="1">
      <c r="A1" s="48" t="s">
        <v>274</v>
      </c>
    </row>
    <row r="3" ht="15" customHeight="1">
      <c r="A3" t="s">
        <v>275</v>
      </c>
      <c r="B3">
        <f>Settings!$C$4</f>
        <v>0</v>
      </c>
      <c r="E3" t="s">
        <v>276</v>
      </c>
      <c r="F3" t="s">
        <v>277</v>
      </c>
      <c r="H3" s="49" t="s">
        <v>278</v>
      </c>
    </row>
    <row r="4" ht="15" customHeight="1">
      <c r="A4" t="s">
        <v>279</v>
      </c>
      <c r="E4" t="s">
        <v>280</v>
      </c>
      <c r="H4" s="50" t="s">
        <v>281</v>
      </c>
      <c r="I4" s="50">
        <f>SUM(F10:F27)</f>
        <v>6296.38</v>
      </c>
    </row>
    <row r="5" ht="15" customHeight="1">
      <c r="A5" t="s">
        <v>282</v>
      </c>
      <c r="E5" t="s">
        <v>283</v>
      </c>
      <c r="H5" s="50" t="s">
        <v>284</v>
      </c>
      <c r="I5" s="50">
        <f>SUMIF(H10:H27,"Yes",F10:F27)</f>
        <v>1240.53</v>
      </c>
    </row>
    <row r="6" ht="15" customHeight="1">
      <c r="H6" s="50" t="s">
        <v>285</v>
      </c>
      <c r="I6" s="50">
        <f>COUNTA(A10:A27)</f>
        <v>18</v>
      </c>
    </row>
    <row r="8" ht="18.75" customHeight="1">
      <c r="A8" s="51" t="s">
        <v>286</v>
      </c>
    </row>
    <row r="9" ht="15" customHeight="1">
      <c r="A9" s="19" t="s">
        <v>287</v>
      </c>
      <c r="B9" s="19" t="s">
        <v>94</v>
      </c>
      <c r="C9" s="19" t="s">
        <v>96</v>
      </c>
      <c r="D9" s="19" t="s">
        <v>265</v>
      </c>
      <c r="E9" s="19" t="s">
        <v>288</v>
      </c>
      <c r="F9" s="19" t="s">
        <v>97</v>
      </c>
      <c r="G9" s="19" t="s">
        <v>289</v>
      </c>
      <c r="H9" s="19" t="s">
        <v>74</v>
      </c>
      <c r="I9" s="19" t="s">
        <v>290</v>
      </c>
    </row>
    <row r="10" ht="15" customHeight="1">
      <c r="A10" s="52" t="str">
        <f>Transactions!B2</f>
        <v>2024-12-01</v>
      </c>
      <c r="B10" s="53" t="str">
        <f>Transactions!F2</f>
        <v>Amazon</v>
      </c>
      <c r="C10" s="53" t="str">
        <f>Transactions!H2</f>
        <v>Office supplies for Q4</v>
      </c>
      <c r="D10" s="53" t="str">
        <f>Transactions!G2</f>
        <v>Office Supplies</v>
      </c>
      <c r="E10" s="53" t="str">
        <f>Transactions!O2</f>
        <v>Project Alpha</v>
      </c>
      <c r="F10" s="54">
        <f>Transactions!L2</f>
        <v>156.78</v>
      </c>
      <c r="G10" s="54">
        <f>Transactions!M2</f>
        <v>0</v>
      </c>
      <c r="H10" s="53" t="str">
        <f>Transactions!N2</f>
        <v>Yes</v>
      </c>
      <c r="I10" s="53" t="str">
        <f>IF(Transactions!P2&lt;&gt;"","Y","N")</f>
        <v>N</v>
      </c>
    </row>
    <row r="11" ht="15" customHeight="1">
      <c r="A11" s="55" t="str">
        <f>Transactions!B3</f>
        <v>2024-12-02</v>
      </c>
      <c r="B11" t="str">
        <f>Transactions!F3</f>
        <v>Delta Airlines</v>
      </c>
      <c r="C11" t="str">
        <f>Transactions!H3</f>
        <v>Flight to client meeting NYC</v>
      </c>
      <c r="D11" t="str">
        <f>Transactions!G3</f>
        <v>Travel</v>
      </c>
      <c r="E11" t="str">
        <f>Transactions!O3</f>
        <v>Client ABC</v>
      </c>
      <c r="F11" s="21">
        <f>Transactions!L3</f>
        <v>487.5</v>
      </c>
      <c r="G11" s="21">
        <f>Transactions!M3</f>
        <v>0</v>
      </c>
      <c r="H11" t="str">
        <f>Transactions!N3</f>
        <v>Yes</v>
      </c>
      <c r="I11" t="str">
        <f>IF(Transactions!P3&lt;&gt;"","Y","N")</f>
        <v>N</v>
      </c>
    </row>
    <row r="12" ht="15" customHeight="1">
      <c r="A12" s="52" t="str">
        <f>Transactions!B4</f>
        <v>2024-12-03</v>
      </c>
      <c r="B12" s="53" t="str">
        <f>Transactions!F4</f>
        <v>Starbucks</v>
      </c>
      <c r="C12" s="53" t="str">
        <f>Transactions!H4</f>
        <v>Team coffee meeting</v>
      </c>
      <c r="D12" s="53" t="str">
        <f>Transactions!G4</f>
        <v>Meals</v>
      </c>
      <c r="E12" s="53" t="str">
        <f>Transactions!O4</f>
        <v>General</v>
      </c>
      <c r="F12" s="54">
        <f>Transactions!L4</f>
        <v>45.23</v>
      </c>
      <c r="G12" s="54">
        <f>Transactions!M4</f>
        <v>0</v>
      </c>
      <c r="H12" s="53" t="str">
        <f>Transactions!N4</f>
        <v>No</v>
      </c>
      <c r="I12" s="53" t="str">
        <f>IF(Transactions!P4&lt;&gt;"","Y","N")</f>
        <v>N</v>
      </c>
    </row>
    <row r="13" ht="15" customHeight="1">
      <c r="A13" s="55" t="str">
        <f>Transactions!B5</f>
        <v>2024-12-05</v>
      </c>
      <c r="B13" t="str">
        <f>Transactions!F5</f>
        <v>Marriott Hotels</v>
      </c>
      <c r="C13" t="str">
        <f>Transactions!H5</f>
        <v>NYC hotel 2 nights</v>
      </c>
      <c r="D13" t="str">
        <f>Transactions!G5</f>
        <v>Travel</v>
      </c>
      <c r="E13" t="str">
        <f>Transactions!O5</f>
        <v>Client ABC</v>
      </c>
      <c r="F13" s="21">
        <f>Transactions!L5</f>
        <v>398</v>
      </c>
      <c r="G13" s="21">
        <f>Transactions!M5</f>
        <v>0</v>
      </c>
      <c r="H13" t="str">
        <f>Transactions!N5</f>
        <v>Yes</v>
      </c>
      <c r="I13" t="str">
        <f>IF(Transactions!P5&lt;&gt;"","Y","N")</f>
        <v>N</v>
      </c>
    </row>
    <row r="14" ht="15" customHeight="1">
      <c r="A14" s="52" t="str">
        <f>Transactions!B6</f>
        <v>2024-12-06</v>
      </c>
      <c r="B14" s="53" t="str">
        <f>Transactions!F6</f>
        <v>Uber</v>
      </c>
      <c r="C14" s="53" t="str">
        <f>Transactions!H6</f>
        <v>Airport to hotel</v>
      </c>
      <c r="D14" s="53" t="str">
        <f>Transactions!G6</f>
        <v>Travel</v>
      </c>
      <c r="E14" s="53" t="str">
        <f>Transactions!O6</f>
        <v>Client ABC</v>
      </c>
      <c r="F14" s="54">
        <f>Transactions!L6</f>
        <v>52.3</v>
      </c>
      <c r="G14" s="54">
        <f>Transactions!M6</f>
        <v>0</v>
      </c>
      <c r="H14" s="53" t="str">
        <f>Transactions!N6</f>
        <v>Yes</v>
      </c>
      <c r="I14" s="53" t="str">
        <f>IF(Transactions!P6&lt;&gt;"","Y","N")</f>
        <v>N</v>
      </c>
    </row>
    <row r="15" ht="15" customHeight="1">
      <c r="A15" s="55" t="str">
        <f>Transactions!B7</f>
        <v>2024-12-07</v>
      </c>
      <c r="B15" t="str">
        <f>Transactions!F7</f>
        <v>Adobe Systems</v>
      </c>
      <c r="C15" t="str">
        <f>Transactions!H7</f>
        <v>Creative Cloud annual</v>
      </c>
      <c r="D15" t="str">
        <f>Transactions!G7</f>
        <v>Subscription</v>
      </c>
      <c r="E15" t="str">
        <f>Transactions!O7</f>
        <v>Internal</v>
      </c>
      <c r="F15" s="21">
        <f>Transactions!L7</f>
        <v>659.88</v>
      </c>
      <c r="G15" s="21">
        <f>Transactions!M7</f>
        <v>0</v>
      </c>
      <c r="H15" t="str">
        <f>Transactions!N7</f>
        <v>No</v>
      </c>
      <c r="I15" t="str">
        <f>IF(Transactions!P7&lt;&gt;"","Y","N")</f>
        <v>N</v>
      </c>
    </row>
    <row r="16" ht="15" customHeight="1">
      <c r="A16" s="52" t="str">
        <f>Transactions!B8</f>
        <v>2024-12-08</v>
      </c>
      <c r="B16" s="53" t="str">
        <f>Transactions!F8</f>
        <v>Chipotle</v>
      </c>
      <c r="C16" s="53" t="str">
        <f>Transactions!H8</f>
        <v>Client lunch meeting</v>
      </c>
      <c r="D16" s="53" t="str">
        <f>Transactions!G8</f>
        <v>Meals</v>
      </c>
      <c r="E16" s="53" t="str">
        <f>Transactions!O8</f>
        <v>Client XYZ</v>
      </c>
      <c r="F16" s="54">
        <f>Transactions!L8</f>
        <v>67.45</v>
      </c>
      <c r="G16" s="54">
        <f>Transactions!M8</f>
        <v>0</v>
      </c>
      <c r="H16" s="53" t="str">
        <f>Transactions!N8</f>
        <v>Yes</v>
      </c>
      <c r="I16" s="53" t="str">
        <f>IF(Transactions!P8&lt;&gt;"","Y","N")</f>
        <v>N</v>
      </c>
    </row>
    <row r="17" ht="15" customHeight="1">
      <c r="A17" s="55" t="str">
        <f>Transactions!B9</f>
        <v>2024-12-10</v>
      </c>
      <c r="B17" t="str">
        <f>Transactions!F9</f>
        <v>Office Depot</v>
      </c>
      <c r="C17" t="str">
        <f>Transactions!H9</f>
        <v>Printer paper and toner</v>
      </c>
      <c r="D17" t="str">
        <f>Transactions!G9</f>
        <v>Office Supplies</v>
      </c>
      <c r="E17" t="str">
        <f>Transactions!O9</f>
        <v>General</v>
      </c>
      <c r="F17" s="21">
        <f>Transactions!L9</f>
        <v>234.56</v>
      </c>
      <c r="G17" s="21">
        <f>Transactions!M9</f>
        <v>0</v>
      </c>
      <c r="H17" t="str">
        <f>Transactions!N9</f>
        <v>No</v>
      </c>
      <c r="I17" t="str">
        <f>IF(Transactions!P9&lt;&gt;"","Y","N")</f>
        <v>N</v>
      </c>
    </row>
    <row r="18" ht="15" customHeight="1">
      <c r="A18" s="52" t="str">
        <f>Transactions!B10</f>
        <v>2024-12-11</v>
      </c>
      <c r="B18" s="53" t="str">
        <f>Transactions!F10</f>
        <v>AT&amp;T</v>
      </c>
      <c r="C18" s="53" t="str">
        <f>Transactions!H10</f>
        <v>Mobile phone service</v>
      </c>
      <c r="D18" s="53" t="str">
        <f>Transactions!G10</f>
        <v>Utilities</v>
      </c>
      <c r="E18" s="53" t="str">
        <f>Transactions!O10</f>
        <v>Internal</v>
      </c>
      <c r="F18" s="54">
        <f>Transactions!L10</f>
        <v>189.99</v>
      </c>
      <c r="G18" s="54">
        <f>Transactions!M10</f>
        <v>0</v>
      </c>
      <c r="H18" s="53" t="str">
        <f>Transactions!N10</f>
        <v>No</v>
      </c>
      <c r="I18" s="53" t="str">
        <f>IF(Transactions!P10&lt;&gt;"","Y","N")</f>
        <v>N</v>
      </c>
    </row>
    <row r="19" ht="15" customHeight="1">
      <c r="A19" s="55" t="str">
        <f>Transactions!B11</f>
        <v>2024-12-12</v>
      </c>
      <c r="B19" t="str">
        <f>Transactions!F11</f>
        <v>Google Ads</v>
      </c>
      <c r="C19" t="str">
        <f>Transactions!H11</f>
        <v>December ad campaign</v>
      </c>
      <c r="D19" t="str">
        <f>Transactions!G11</f>
        <v>Advertising</v>
      </c>
      <c r="E19" t="str">
        <f>Transactions!O11</f>
        <v>Project Beta</v>
      </c>
      <c r="F19" s="21">
        <f>Transactions!L11</f>
        <v>1500</v>
      </c>
      <c r="G19" s="21">
        <f>Transactions!M11</f>
        <v>0</v>
      </c>
      <c r="H19" t="str">
        <f>Transactions!N11</f>
        <v>No</v>
      </c>
      <c r="I19" t="str">
        <f>IF(Transactions!P11&lt;&gt;"","Y","N")</f>
        <v>N</v>
      </c>
    </row>
    <row r="20" ht="15" customHeight="1">
      <c r="A20" s="52" t="str">
        <f>Transactions!B12</f>
        <v>2024-12-13</v>
      </c>
      <c r="B20" s="53" t="str">
        <f>Transactions!F12</f>
        <v>Shell Gas</v>
      </c>
      <c r="C20" s="53" t="str">
        <f>Transactions!H12</f>
        <v>Fuel for rental car</v>
      </c>
      <c r="D20" s="53" t="str">
        <f>Transactions!G12</f>
        <v>Travel</v>
      </c>
      <c r="E20" s="53" t="str">
        <f>Transactions!O12</f>
        <v>Client ABC</v>
      </c>
      <c r="F20" s="54">
        <f>Transactions!L12</f>
        <v>78.5</v>
      </c>
      <c r="G20" s="54">
        <f>Transactions!M12</f>
        <v>0</v>
      </c>
      <c r="H20" s="53" t="str">
        <f>Transactions!N12</f>
        <v>Yes</v>
      </c>
      <c r="I20" s="53" t="str">
        <f>IF(Transactions!P12&lt;&gt;"","Y","N")</f>
        <v>N</v>
      </c>
    </row>
    <row r="21" ht="15" customHeight="1">
      <c r="A21" s="55" t="str">
        <f>Transactions!B13</f>
        <v>2024-12-15</v>
      </c>
      <c r="B21" t="str">
        <f>Transactions!F13</f>
        <v>Amazon</v>
      </c>
      <c r="C21" t="str">
        <f>Transactions!H13</f>
        <v>Ergonomic keyboards x3</v>
      </c>
      <c r="D21" t="str">
        <f>Transactions!G13</f>
        <v>Office Supplies</v>
      </c>
      <c r="E21" t="str">
        <f>Transactions!O13</f>
        <v>Internal</v>
      </c>
      <c r="F21" s="21">
        <f>Transactions!L13</f>
        <v>299.97</v>
      </c>
      <c r="G21" s="21">
        <f>Transactions!M13</f>
        <v>0</v>
      </c>
      <c r="H21" t="str">
        <f>Transactions!N13</f>
        <v>No</v>
      </c>
      <c r="I21" t="str">
        <f>IF(Transactions!P13&lt;&gt;"","Y","N")</f>
        <v>N</v>
      </c>
    </row>
    <row r="22" ht="15" customHeight="1">
      <c r="A22" s="52" t="str">
        <f>Transactions!B14</f>
        <v>2024-12-16</v>
      </c>
      <c r="B22" s="53" t="str">
        <f>Transactions!F14</f>
        <v>Zoom</v>
      </c>
      <c r="C22" s="53" t="str">
        <f>Transactions!H14</f>
        <v>Annual subscription</v>
      </c>
      <c r="D22" s="53" t="str">
        <f>Transactions!G14</f>
        <v>Subscription</v>
      </c>
      <c r="E22" s="53" t="str">
        <f>Transactions!O14</f>
        <v>Internal</v>
      </c>
      <c r="F22" s="54">
        <f>Transactions!L14</f>
        <v>199.9</v>
      </c>
      <c r="G22" s="54">
        <f>Transactions!M14</f>
        <v>0</v>
      </c>
      <c r="H22" s="53" t="str">
        <f>Transactions!N14</f>
        <v>No</v>
      </c>
      <c r="I22" s="53" t="str">
        <f>IF(Transactions!P14&lt;&gt;"","Y","N")</f>
        <v>N</v>
      </c>
    </row>
    <row r="23" ht="15" customHeight="1">
      <c r="A23" s="55" t="str">
        <f>Transactions!B15</f>
        <v>2024-12-18</v>
      </c>
      <c r="B23" t="str">
        <f>Transactions!F15</f>
        <v>The Steakhouse</v>
      </c>
      <c r="C23" t="str">
        <f>Transactions!H15</f>
        <v>Year-end team dinner</v>
      </c>
      <c r="D23" t="str">
        <f>Transactions!G15</f>
        <v>Meals</v>
      </c>
      <c r="E23" t="str">
        <f>Transactions!O15</f>
        <v>General</v>
      </c>
      <c r="F23" s="21">
        <f>Transactions!L15</f>
        <v>892.34</v>
      </c>
      <c r="G23" s="21">
        <f>Transactions!M15</f>
        <v>0</v>
      </c>
      <c r="H23" t="str">
        <f>Transactions!N15</f>
        <v>No</v>
      </c>
      <c r="I23" t="str">
        <f>IF(Transactions!P15&lt;&gt;"","Y","N")</f>
        <v>N</v>
      </c>
    </row>
    <row r="24" ht="15" customHeight="1">
      <c r="A24" s="52" t="str">
        <f>Transactions!B16</f>
        <v>2024-12-19</v>
      </c>
      <c r="B24" s="53" t="str">
        <f>Transactions!F16</f>
        <v>Amazon</v>
      </c>
      <c r="C24" s="53" t="str">
        <f>Transactions!H16</f>
        <v>Returned item credit</v>
      </c>
      <c r="D24" s="53" t="str">
        <f>Transactions!G16</f>
        <v>Refunds</v>
      </c>
      <c r="E24" s="53" t="str">
        <f>Transactions!O16</f>
        <v>General</v>
      </c>
      <c r="F24" s="54">
        <f>Transactions!L16</f>
        <v>-45</v>
      </c>
      <c r="G24" s="54">
        <f>Transactions!M16</f>
        <v>0</v>
      </c>
      <c r="H24" s="53" t="str">
        <f>Transactions!N16</f>
        <v>No</v>
      </c>
      <c r="I24" s="53" t="str">
        <f>IF(Transactions!P16&lt;&gt;"","Y","N")</f>
        <v>N</v>
      </c>
    </row>
    <row r="25" ht="15" customHeight="1">
      <c r="A25" s="55" t="str">
        <f>Transactions!B17</f>
        <v>2024-12-20</v>
      </c>
      <c r="B25" t="str">
        <f>Transactions!F17</f>
        <v>LinkedIn</v>
      </c>
      <c r="C25" t="str">
        <f>Transactions!H17</f>
        <v>Premium recruiting ad</v>
      </c>
      <c r="D25" t="str">
        <f>Transactions!G17</f>
        <v>Advertising</v>
      </c>
      <c r="E25" t="str">
        <f>Transactions!O17</f>
        <v>Internal</v>
      </c>
      <c r="F25" s="21">
        <f>Transactions!L17</f>
        <v>599</v>
      </c>
      <c r="G25" s="21">
        <f>Transactions!M17</f>
        <v>0</v>
      </c>
      <c r="H25" t="str">
        <f>Transactions!N17</f>
        <v>No</v>
      </c>
      <c r="I25" t="str">
        <f>IF(Transactions!P17&lt;&gt;"","Y","N")</f>
        <v>N</v>
      </c>
    </row>
    <row r="26" ht="15" customHeight="1">
      <c r="A26" s="52" t="str">
        <f>Transactions!B18</f>
        <v>2024-12-22</v>
      </c>
      <c r="B26" s="53" t="str">
        <f>Transactions!F18</f>
        <v>Best Buy</v>
      </c>
      <c r="C26" s="53" t="str">
        <f>Transactions!H18</f>
        <v>Monitor for remote worker</v>
      </c>
      <c r="D26" s="53" t="str">
        <f>Transactions!G18</f>
        <v>Office Supplies</v>
      </c>
      <c r="E26" s="53" t="str">
        <f>Transactions!O18</f>
        <v>Project Alpha</v>
      </c>
      <c r="F26" s="54">
        <f>Transactions!L18</f>
        <v>349.99</v>
      </c>
      <c r="G26" s="54">
        <f>Transactions!M18</f>
        <v>0</v>
      </c>
      <c r="H26" s="53" t="str">
        <f>Transactions!N18</f>
        <v>No</v>
      </c>
      <c r="I26" s="53" t="str">
        <f>IF(Transactions!P18&lt;&gt;"","Y","N")</f>
        <v>N</v>
      </c>
    </row>
    <row r="27" ht="15" customHeight="1">
      <c r="A27" s="55" t="str">
        <f>Transactions!B19</f>
        <v>2024-12-23</v>
      </c>
      <c r="B27" t="str">
        <f>Transactions!F19</f>
        <v>Comcast</v>
      </c>
      <c r="C27" t="str">
        <f>Transactions!H19</f>
        <v>Internet service</v>
      </c>
      <c r="D27" t="str">
        <f>Transactions!G19</f>
        <v>Utilities</v>
      </c>
      <c r="E27" t="str">
        <f>Transactions!O19</f>
        <v>Internal</v>
      </c>
      <c r="F27" s="21">
        <f>Transactions!L19</f>
        <v>129.99</v>
      </c>
      <c r="G27" s="21">
        <f>Transactions!M19</f>
        <v>0</v>
      </c>
      <c r="H27" t="str">
        <f>Transactions!N19</f>
        <v>No</v>
      </c>
      <c r="I27" t="str">
        <f>IF(Transactions!P19&lt;&gt;"","Y","N")</f>
        <v>N</v>
      </c>
    </row>
    <row r="28" ht="15" customHeight="1">
      <c r="A28" s="56" t="s">
        <v>268</v>
      </c>
      <c r="F28" s="56">
        <f t="shared" si="0" ref="F28:G28">SUM(F10:F27)</f>
        <v>6296.38</v>
      </c>
      <c r="G28" s="56">
        <f t="shared" si="0"/>
        <v>0</v>
      </c>
    </row>
    <row r="29" ht="15" customHeight="1">
      <c r="A29" s="57" t="s">
        <v>292</v>
      </c>
    </row>
    <row r="30" ht="15" customHeight="1">
      <c r="A30" s="57" t="s">
        <v>265</v>
      </c>
      <c r="B30" s="57" t="s">
        <v>97</v>
      </c>
    </row>
    <row r="31" ht="15" customHeight="1">
      <c r="A31" t="s">
        <v>55</v>
      </c>
      <c r="B31" s="21">
        <f>SUMIF(D10:D27,"Travel",F10:F27)</f>
        <v>1016.3</v>
      </c>
    </row>
    <row r="32" ht="15" customHeight="1">
      <c r="A32" t="s">
        <v>60</v>
      </c>
      <c r="B32" s="21">
        <f>SUMIF(D10:D27,"Meals",F10:F27)</f>
        <v>1005.02</v>
      </c>
    </row>
    <row r="33" ht="15" customHeight="1">
      <c r="A33" t="s">
        <v>64</v>
      </c>
      <c r="B33" s="21">
        <f>SUMIF(D10:D27,"Office Supplies",F10:F27)</f>
        <v>1041.3</v>
      </c>
    </row>
    <row r="34" ht="15" customHeight="1">
      <c r="A34" t="s">
        <v>68</v>
      </c>
      <c r="B34" s="21">
        <f>SUMIF(D10:D27,"Advertising",F10:F27)</f>
        <v>2099</v>
      </c>
    </row>
    <row r="35" ht="15" customHeight="1">
      <c r="A35" t="s">
        <v>71</v>
      </c>
      <c r="B35" s="21">
        <f>SUMIF(D10:D27,"Utilities",F10:F27)</f>
        <v>319.98</v>
      </c>
    </row>
    <row r="36" ht="15" customHeight="1">
      <c r="A36" t="s">
        <v>72</v>
      </c>
      <c r="B36" s="21">
        <f>SUMIF(D10:D27,"Subscription",F10:F27)</f>
        <v>859.78</v>
      </c>
    </row>
    <row r="37" ht="15" customHeight="1">
      <c r="A37" t="s">
        <v>73</v>
      </c>
      <c r="B37" s="21">
        <f>SUMIF(D10:D27,"Refunds",F10:F27)</f>
        <v>-45</v>
      </c>
    </row>
    <row r="38" ht="15" customHeight="1">
      <c r="A38" t="s">
        <v>69</v>
      </c>
      <c r="B38" s="21">
        <f>SUMIF(D10:D27,"Other",F10:F27)</f>
        <v>0</v>
      </c>
    </row>
    <row r="41" ht="15" customHeight="1">
      <c r="A41" t="s">
        <v>293</v>
      </c>
      <c r="D41" t="s">
        <v>294</v>
      </c>
    </row>
    <row r="43" ht="15" customHeight="1">
      <c r="A43" t="s">
        <v>295</v>
      </c>
      <c r="D43" t="s">
        <v>294</v>
      </c>
    </row>
    <row r="46" ht="15" customHeight="1">
      <c r="A46" s="58"/>
    </row>
    <row r="47" ht="15" customHeight="1">
      <c r="A47" s="59" t="s">
        <v>38</v>
      </c>
    </row>
    <row r="48" ht="15" customHeight="1">
      <c r="A48" s="60" t="s">
        <v>296</v>
      </c>
    </row>
    <row r="49" ht="15" customHeight="1">
      <c r="A49" s="61" t="s">
        <v>40</v>
      </c>
    </row>
    <row r="50" ht="15" customHeight="1">
      <c r="A50" s="61" t="s">
        <v>41</v>
      </c>
    </row>
    <row r="51" ht="15" customHeight="1">
      <c r="A51" s="61" t="s">
        <v>42</v>
      </c>
    </row>
  </sheetData>
  <mergeCells>
    <mergeCell ref="A1:I1"/>
    <mergeCell ref="H3:I3"/>
    <mergeCell ref="A8:I8"/>
    <mergeCell ref="A46:I46"/>
    <mergeCell ref="A47:I47"/>
    <mergeCell ref="A48:I48"/>
    <mergeCell ref="A49:I49"/>
    <mergeCell ref="A50:I50"/>
    <mergeCell ref="A51:I51"/>
  </mergeCells>
  <printOptions/>
  <pageMargins left="0.7" right="0.7" top="0.75" bottom="0.75" header="0.3" footer="0.3"/>
  <pageSetup paperSize="1" orientation="portrait"/>
  <headerFooter>
    <oddHeader>&amp;L&amp;C&amp;R</oddHeader>
    <oddFooter>&amp;L&amp;C&amp;R</oddFooter>
  </headerFooter>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89221CE8-4418-6978-71EE-AEF7B342ED5A}" mc:Ignorable="x14ac xr xr2 xr3">
  <dimension ref="A1:GR1000"/>
  <sheetViews>
    <sheetView topLeftCell="A1" workbookViewId="0">
      <selection activeCell="A1" sqref="A1:G1"/>
    </sheetView>
  </sheetViews>
  <sheetFormatPr defaultRowHeight="15" defaultColWidth="8.8515625" customHeight="1"/>
  <cols>
    <col min="1" max="1" width="5.7109375" customWidth="1"/>
    <col min="2" max="2" width="11.421875" customWidth="1"/>
    <col min="3" max="3" width="17.140625" customWidth="1"/>
    <col min="4" max="4" width="14.28125" customWidth="1"/>
    <col min="5" max="5" width="21.421875" customWidth="1"/>
    <col min="6" max="6" width="14.28125" customWidth="1"/>
    <col min="7" max="7" width="11.421875" customWidth="1"/>
  </cols>
  <sheetData>
    <row r="1" ht="22.5" customHeight="1">
      <c r="A1" s="62" t="s">
        <v>297</v>
      </c>
    </row>
    <row r="3" ht="15" customHeight="1">
      <c r="A3" t="s">
        <v>275</v>
      </c>
      <c r="B3">
        <f>Settings!$C$4</f>
        <v>0</v>
      </c>
      <c r="D3" t="s">
        <v>298</v>
      </c>
      <c r="E3" t="s">
        <v>299</v>
      </c>
    </row>
    <row r="4" ht="15" customHeight="1">
      <c r="A4" t="s">
        <v>300</v>
      </c>
      <c r="D4" t="s">
        <v>301</v>
      </c>
      <c r="E4" s="55">
        <f>TODAY()</f>
        <v>46017</v>
      </c>
    </row>
    <row r="6" ht="15.75" customHeight="1">
      <c r="A6" s="63" t="s">
        <v>302</v>
      </c>
    </row>
    <row r="7" ht="15" customHeight="1">
      <c r="A7" s="64" t="s">
        <v>303</v>
      </c>
      <c r="B7" s="64" t="s">
        <v>287</v>
      </c>
      <c r="C7" s="64" t="s">
        <v>94</v>
      </c>
      <c r="D7" s="64" t="s">
        <v>265</v>
      </c>
      <c r="E7" s="64" t="s">
        <v>96</v>
      </c>
      <c r="F7" s="64" t="s">
        <v>97</v>
      </c>
      <c r="G7" s="64" t="s">
        <v>272</v>
      </c>
    </row>
    <row r="8" ht="15" customHeight="1">
      <c r="A8">
        <v>1</v>
      </c>
      <c r="B8" s="55" t="str">
        <f>IF(Transactions!B2&lt;&gt;"",Transactions!B2,"")</f>
        <v>2024-12-01</v>
      </c>
      <c r="C8" t="str">
        <f>IF(Transactions!F2&lt;&gt;"",Transactions!F2,"")</f>
        <v>Amazon</v>
      </c>
      <c r="D8" t="str">
        <f>IF(Transactions!G2&lt;&gt;"",Transactions!G2,"")</f>
        <v>Office Supplies</v>
      </c>
      <c r="E8" t="str">
        <f>IF(Transactions!H2&lt;&gt;"",Transactions!H2,"")</f>
        <v>Office supplies for Q4</v>
      </c>
      <c r="F8" s="65">
        <f>IF(Transactions!L2&lt;&gt;"",Transactions!L2,"")</f>
        <v>156.78</v>
      </c>
      <c r="G8" t="str">
        <f>IF(Transactions!Q2&lt;&gt;"",Transactions!Q2,"")</f>
        <v>No</v>
      </c>
    </row>
    <row r="9" ht="15" customHeight="1">
      <c r="A9" s="38">
        <v>2</v>
      </c>
      <c r="B9" s="66" t="str">
        <f>IF(Transactions!B3&lt;&gt;"",Transactions!B3,"")</f>
        <v>2024-12-02</v>
      </c>
      <c r="C9" s="38" t="str">
        <f>IF(Transactions!F3&lt;&gt;"",Transactions!F3,"")</f>
        <v>Delta Airlines</v>
      </c>
      <c r="D9" s="38" t="str">
        <f>IF(Transactions!G3&lt;&gt;"",Transactions!G3,"")</f>
        <v>Travel</v>
      </c>
      <c r="E9" s="38" t="str">
        <f>IF(Transactions!H3&lt;&gt;"",Transactions!H3,"")</f>
        <v>Flight to client meeting NYC</v>
      </c>
      <c r="F9" s="67">
        <f>IF(Transactions!L3&lt;&gt;"",Transactions!L3,"")</f>
        <v>487.5</v>
      </c>
      <c r="G9" s="38" t="str">
        <f>IF(Transactions!Q3&lt;&gt;"",Transactions!Q3,"")</f>
        <v>No</v>
      </c>
    </row>
    <row r="10" ht="15" customHeight="1">
      <c r="A10">
        <v>3</v>
      </c>
      <c r="B10" s="55" t="str">
        <f>IF(Transactions!B4&lt;&gt;"",Transactions!B4,"")</f>
        <v>2024-12-03</v>
      </c>
      <c r="C10" t="str">
        <f>IF(Transactions!F4&lt;&gt;"",Transactions!F4,"")</f>
        <v>Starbucks</v>
      </c>
      <c r="D10" t="str">
        <f>IF(Transactions!G4&lt;&gt;"",Transactions!G4,"")</f>
        <v>Meals</v>
      </c>
      <c r="E10" t="str">
        <f>IF(Transactions!H4&lt;&gt;"",Transactions!H4,"")</f>
        <v>Team coffee meeting</v>
      </c>
      <c r="F10" s="65">
        <f>IF(Transactions!L4&lt;&gt;"",Transactions!L4,"")</f>
        <v>45.23</v>
      </c>
      <c r="G10" t="str">
        <f>IF(Transactions!Q4&lt;&gt;"",Transactions!Q4,"")</f>
        <v>No</v>
      </c>
    </row>
    <row r="11" ht="15" customHeight="1">
      <c r="A11" s="38">
        <v>4</v>
      </c>
      <c r="B11" s="66" t="str">
        <f>IF(Transactions!B5&lt;&gt;"",Transactions!B5,"")</f>
        <v>2024-12-05</v>
      </c>
      <c r="C11" s="38" t="str">
        <f>IF(Transactions!F5&lt;&gt;"",Transactions!F5,"")</f>
        <v>Marriott Hotels</v>
      </c>
      <c r="D11" s="38" t="str">
        <f>IF(Transactions!G5&lt;&gt;"",Transactions!G5,"")</f>
        <v>Travel</v>
      </c>
      <c r="E11" s="38" t="str">
        <f>IF(Transactions!H5&lt;&gt;"",Transactions!H5,"")</f>
        <v>NYC hotel 2 nights</v>
      </c>
      <c r="F11" s="67">
        <f>IF(Transactions!L5&lt;&gt;"",Transactions!L5,"")</f>
        <v>398</v>
      </c>
      <c r="G11" s="38" t="str">
        <f>IF(Transactions!Q5&lt;&gt;"",Transactions!Q5,"")</f>
        <v>No</v>
      </c>
    </row>
    <row r="12" ht="15" customHeight="1">
      <c r="A12">
        <v>5</v>
      </c>
      <c r="B12" s="55" t="str">
        <f>IF(Transactions!B6&lt;&gt;"",Transactions!B6,"")</f>
        <v>2024-12-06</v>
      </c>
      <c r="C12" t="str">
        <f>IF(Transactions!F6&lt;&gt;"",Transactions!F6,"")</f>
        <v>Uber</v>
      </c>
      <c r="D12" t="str">
        <f>IF(Transactions!G6&lt;&gt;"",Transactions!G6,"")</f>
        <v>Travel</v>
      </c>
      <c r="E12" t="str">
        <f>IF(Transactions!H6&lt;&gt;"",Transactions!H6,"")</f>
        <v>Airport to hotel</v>
      </c>
      <c r="F12" s="65">
        <f>IF(Transactions!L6&lt;&gt;"",Transactions!L6,"")</f>
        <v>52.3</v>
      </c>
      <c r="G12" t="str">
        <f>IF(Transactions!Q6&lt;&gt;"",Transactions!Q6,"")</f>
        <v>No</v>
      </c>
    </row>
    <row r="13" ht="15" customHeight="1">
      <c r="A13" s="38">
        <v>6</v>
      </c>
      <c r="B13" s="66" t="str">
        <f>IF(Transactions!B7&lt;&gt;"",Transactions!B7,"")</f>
        <v>2024-12-07</v>
      </c>
      <c r="C13" s="38" t="str">
        <f>IF(Transactions!F7&lt;&gt;"",Transactions!F7,"")</f>
        <v>Adobe Systems</v>
      </c>
      <c r="D13" s="38" t="str">
        <f>IF(Transactions!G7&lt;&gt;"",Transactions!G7,"")</f>
        <v>Subscription</v>
      </c>
      <c r="E13" s="38" t="str">
        <f>IF(Transactions!H7&lt;&gt;"",Transactions!H7,"")</f>
        <v>Creative Cloud annual</v>
      </c>
      <c r="F13" s="67">
        <f>IF(Transactions!L7&lt;&gt;"",Transactions!L7,"")</f>
        <v>659.88</v>
      </c>
      <c r="G13" s="38" t="str">
        <f>IF(Transactions!Q7&lt;&gt;"",Transactions!Q7,"")</f>
        <v>No</v>
      </c>
    </row>
    <row r="14" ht="15" customHeight="1">
      <c r="A14">
        <v>7</v>
      </c>
      <c r="B14" s="55" t="str">
        <f>IF(Transactions!B8&lt;&gt;"",Transactions!B8,"")</f>
        <v>2024-12-08</v>
      </c>
      <c r="C14" t="str">
        <f>IF(Transactions!F8&lt;&gt;"",Transactions!F8,"")</f>
        <v>Chipotle</v>
      </c>
      <c r="D14" t="str">
        <f>IF(Transactions!G8&lt;&gt;"",Transactions!G8,"")</f>
        <v>Meals</v>
      </c>
      <c r="E14" t="str">
        <f>IF(Transactions!H8&lt;&gt;"",Transactions!H8,"")</f>
        <v>Client lunch meeting</v>
      </c>
      <c r="F14" s="65">
        <f>IF(Transactions!L8&lt;&gt;"",Transactions!L8,"")</f>
        <v>67.45</v>
      </c>
      <c r="G14" t="str">
        <f>IF(Transactions!Q8&lt;&gt;"",Transactions!Q8,"")</f>
        <v>No</v>
      </c>
    </row>
    <row r="15" ht="15" customHeight="1">
      <c r="A15" s="38">
        <v>8</v>
      </c>
      <c r="B15" s="66" t="str">
        <f>IF(Transactions!B9&lt;&gt;"",Transactions!B9,"")</f>
        <v>2024-12-10</v>
      </c>
      <c r="C15" s="38" t="str">
        <f>IF(Transactions!F9&lt;&gt;"",Transactions!F9,"")</f>
        <v>Office Depot</v>
      </c>
      <c r="D15" s="38" t="str">
        <f>IF(Transactions!G9&lt;&gt;"",Transactions!G9,"")</f>
        <v>Office Supplies</v>
      </c>
      <c r="E15" s="38" t="str">
        <f>IF(Transactions!H9&lt;&gt;"",Transactions!H9,"")</f>
        <v>Printer paper and toner</v>
      </c>
      <c r="F15" s="67">
        <f>IF(Transactions!L9&lt;&gt;"",Transactions!L9,"")</f>
        <v>234.56</v>
      </c>
      <c r="G15" s="38" t="str">
        <f>IF(Transactions!Q9&lt;&gt;"",Transactions!Q9,"")</f>
        <v>No</v>
      </c>
    </row>
    <row r="16" ht="15" customHeight="1">
      <c r="A16">
        <v>9</v>
      </c>
      <c r="B16" s="55" t="str">
        <f>IF(Transactions!B10&lt;&gt;"",Transactions!B10,"")</f>
        <v>2024-12-11</v>
      </c>
      <c r="C16" t="str">
        <f>IF(Transactions!F10&lt;&gt;"",Transactions!F10,"")</f>
        <v>AT&amp;T</v>
      </c>
      <c r="D16" t="str">
        <f>IF(Transactions!G10&lt;&gt;"",Transactions!G10,"")</f>
        <v>Utilities</v>
      </c>
      <c r="E16" t="str">
        <f>IF(Transactions!H10&lt;&gt;"",Transactions!H10,"")</f>
        <v>Mobile phone service</v>
      </c>
      <c r="F16" s="65">
        <f>IF(Transactions!L10&lt;&gt;"",Transactions!L10,"")</f>
        <v>189.99</v>
      </c>
      <c r="G16" t="str">
        <f>IF(Transactions!Q10&lt;&gt;"",Transactions!Q10,"")</f>
        <v>No</v>
      </c>
    </row>
    <row r="17" ht="15" customHeight="1">
      <c r="A17" s="38">
        <v>10</v>
      </c>
      <c r="B17" s="66" t="str">
        <f>IF(Transactions!B11&lt;&gt;"",Transactions!B11,"")</f>
        <v>2024-12-12</v>
      </c>
      <c r="C17" s="38" t="str">
        <f>IF(Transactions!F11&lt;&gt;"",Transactions!F11,"")</f>
        <v>Google Ads</v>
      </c>
      <c r="D17" s="38" t="str">
        <f>IF(Transactions!G11&lt;&gt;"",Transactions!G11,"")</f>
        <v>Advertising</v>
      </c>
      <c r="E17" s="38" t="str">
        <f>IF(Transactions!H11&lt;&gt;"",Transactions!H11,"")</f>
        <v>December ad campaign</v>
      </c>
      <c r="F17" s="67">
        <f>IF(Transactions!L11&lt;&gt;"",Transactions!L11,"")</f>
        <v>1500</v>
      </c>
      <c r="G17" s="38" t="str">
        <f>IF(Transactions!Q11&lt;&gt;"",Transactions!Q11,"")</f>
        <v>No</v>
      </c>
    </row>
    <row r="18" ht="15" customHeight="1">
      <c r="A18">
        <v>11</v>
      </c>
      <c r="B18" s="55" t="str">
        <f>IF(Transactions!B12&lt;&gt;"",Transactions!B12,"")</f>
        <v>2024-12-13</v>
      </c>
      <c r="C18" t="str">
        <f>IF(Transactions!F12&lt;&gt;"",Transactions!F12,"")</f>
        <v>Shell Gas</v>
      </c>
      <c r="D18" t="str">
        <f>IF(Transactions!G12&lt;&gt;"",Transactions!G12,"")</f>
        <v>Travel</v>
      </c>
      <c r="E18" t="str">
        <f>IF(Transactions!H12&lt;&gt;"",Transactions!H12,"")</f>
        <v>Fuel for rental car</v>
      </c>
      <c r="F18" s="65">
        <f>IF(Transactions!L12&lt;&gt;"",Transactions!L12,"")</f>
        <v>78.5</v>
      </c>
      <c r="G18" t="str">
        <f>IF(Transactions!Q12&lt;&gt;"",Transactions!Q12,"")</f>
        <v>No</v>
      </c>
    </row>
    <row r="19" ht="15" customHeight="1">
      <c r="A19" s="38">
        <v>12</v>
      </c>
      <c r="B19" s="66" t="str">
        <f>IF(Transactions!B13&lt;&gt;"",Transactions!B13,"")</f>
        <v>2024-12-15</v>
      </c>
      <c r="C19" s="38" t="str">
        <f>IF(Transactions!F13&lt;&gt;"",Transactions!F13,"")</f>
        <v>Amazon</v>
      </c>
      <c r="D19" s="38" t="str">
        <f>IF(Transactions!G13&lt;&gt;"",Transactions!G13,"")</f>
        <v>Office Supplies</v>
      </c>
      <c r="E19" s="38" t="str">
        <f>IF(Transactions!H13&lt;&gt;"",Transactions!H13,"")</f>
        <v>Ergonomic keyboards x3</v>
      </c>
      <c r="F19" s="67">
        <f>IF(Transactions!L13&lt;&gt;"",Transactions!L13,"")</f>
        <v>299.97</v>
      </c>
      <c r="G19" s="38" t="str">
        <f>IF(Transactions!Q13&lt;&gt;"",Transactions!Q13,"")</f>
        <v>No</v>
      </c>
    </row>
    <row r="20" ht="15" customHeight="1">
      <c r="A20">
        <v>13</v>
      </c>
      <c r="B20" s="55" t="str">
        <f>IF(Transactions!B14&lt;&gt;"",Transactions!B14,"")</f>
        <v>2024-12-16</v>
      </c>
      <c r="C20" t="str">
        <f>IF(Transactions!F14&lt;&gt;"",Transactions!F14,"")</f>
        <v>Zoom</v>
      </c>
      <c r="D20" t="str">
        <f>IF(Transactions!G14&lt;&gt;"",Transactions!G14,"")</f>
        <v>Subscription</v>
      </c>
      <c r="E20" t="str">
        <f>IF(Transactions!H14&lt;&gt;"",Transactions!H14,"")</f>
        <v>Annual subscription</v>
      </c>
      <c r="F20" s="65">
        <f>IF(Transactions!L14&lt;&gt;"",Transactions!L14,"")</f>
        <v>199.9</v>
      </c>
      <c r="G20" t="str">
        <f>IF(Transactions!Q14&lt;&gt;"",Transactions!Q14,"")</f>
        <v>No</v>
      </c>
    </row>
    <row r="21" ht="15" customHeight="1">
      <c r="A21" s="38">
        <v>14</v>
      </c>
      <c r="B21" s="66" t="str">
        <f>IF(Transactions!B15&lt;&gt;"",Transactions!B15,"")</f>
        <v>2024-12-18</v>
      </c>
      <c r="C21" s="38" t="str">
        <f>IF(Transactions!F15&lt;&gt;"",Transactions!F15,"")</f>
        <v>The Steakhouse</v>
      </c>
      <c r="D21" s="38" t="str">
        <f>IF(Transactions!G15&lt;&gt;"",Transactions!G15,"")</f>
        <v>Meals</v>
      </c>
      <c r="E21" s="38" t="str">
        <f>IF(Transactions!H15&lt;&gt;"",Transactions!H15,"")</f>
        <v>Year-end team dinner</v>
      </c>
      <c r="F21" s="67">
        <f>IF(Transactions!L15&lt;&gt;"",Transactions!L15,"")</f>
        <v>892.34</v>
      </c>
      <c r="G21" s="38" t="str">
        <f>IF(Transactions!Q15&lt;&gt;"",Transactions!Q15,"")</f>
        <v>No</v>
      </c>
    </row>
    <row r="22" ht="15" customHeight="1">
      <c r="A22">
        <v>15</v>
      </c>
      <c r="B22" s="55" t="str">
        <f>IF(Transactions!B16&lt;&gt;"",Transactions!B16,"")</f>
        <v>2024-12-19</v>
      </c>
      <c r="C22" t="str">
        <f>IF(Transactions!F16&lt;&gt;"",Transactions!F16,"")</f>
        <v>Amazon</v>
      </c>
      <c r="D22" t="str">
        <f>IF(Transactions!G16&lt;&gt;"",Transactions!G16,"")</f>
        <v>Refunds</v>
      </c>
      <c r="E22" t="str">
        <f>IF(Transactions!H16&lt;&gt;"",Transactions!H16,"")</f>
        <v>Returned item credit</v>
      </c>
      <c r="F22" s="65">
        <f>IF(Transactions!L16&lt;&gt;"",Transactions!L16,"")</f>
        <v>-45</v>
      </c>
      <c r="G22" t="str">
        <f>IF(Transactions!Q16&lt;&gt;"",Transactions!Q16,"")</f>
        <v>No</v>
      </c>
    </row>
    <row r="24" ht="15" customHeight="1">
      <c r="A24" s="57" t="s">
        <v>278</v>
      </c>
    </row>
    <row r="25" ht="15" customHeight="1">
      <c r="A25" t="s">
        <v>304</v>
      </c>
      <c r="B25" s="65">
        <f>SUMIF(F8:F22,"&gt;0",F8:F22)</f>
        <v>5262.4</v>
      </c>
    </row>
    <row r="26" ht="15" customHeight="1">
      <c r="A26" t="s">
        <v>305</v>
      </c>
      <c r="B26" s="65">
        <f>SUMIF(F8:F22,"&lt;0",F8:F22)</f>
        <v>-45</v>
      </c>
    </row>
    <row r="27" ht="15" customHeight="1">
      <c r="A27" s="57" t="s">
        <v>306</v>
      </c>
      <c r="B27" s="56">
        <f>SUM(F8:F22)</f>
        <v>5217.4</v>
      </c>
    </row>
    <row r="30" ht="15" customHeight="1">
      <c r="A30" t="s">
        <v>307</v>
      </c>
      <c r="D30" t="s">
        <v>294</v>
      </c>
    </row>
    <row r="32" ht="15" customHeight="1">
      <c r="A32" t="s">
        <v>308</v>
      </c>
      <c r="D32" t="s">
        <v>294</v>
      </c>
    </row>
    <row r="34" ht="15" customHeight="1">
      <c r="A34" s="59" t="s">
        <v>38</v>
      </c>
    </row>
    <row r="35" ht="15" customHeight="1">
      <c r="A35" s="68" t="s">
        <v>296</v>
      </c>
    </row>
    <row r="36" ht="15" customHeight="1">
      <c r="A36" s="69" t="s">
        <v>40</v>
      </c>
    </row>
    <row r="37" ht="15" customHeight="1">
      <c r="A37" s="69" t="s">
        <v>41</v>
      </c>
    </row>
    <row r="38" ht="15" customHeight="1">
      <c r="A38" s="61" t="s">
        <v>42</v>
      </c>
    </row>
  </sheetData>
  <mergeCells>
    <mergeCell ref="A1:G1"/>
    <mergeCell ref="E3:G3"/>
    <mergeCell ref="A6:G6"/>
    <mergeCell ref="A34:G34"/>
    <mergeCell ref="A35:G35"/>
    <mergeCell ref="A36:G36"/>
    <mergeCell ref="A37:G37"/>
    <mergeCell ref="A38:G38"/>
  </mergeCells>
  <printOptions/>
  <pageMargins left="0.7" right="0.7" top="0.75" bottom="0.75" header="0.3" footer="0.3"/>
  <pageSetup paperSize="1" orientation="portrait"/>
  <headerFooter>
    <oddHeader>&amp;L&amp;C&amp;R</oddHeader>
    <oddFooter>&amp;L&amp;C&amp;R</oddFooter>
  </headerFooter>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C8459AFE-9CC9-6668-5E98-63ED3658FDCF}" mc:Ignorable="x14ac xr xr2 xr3">
  <dimension ref="A1:GR1000"/>
  <sheetViews>
    <sheetView topLeftCell="A2" workbookViewId="0" tabSelected="1">
      <selection activeCell="A14" sqref="A14:G14"/>
    </sheetView>
  </sheetViews>
  <sheetFormatPr defaultRowHeight="15" defaultColWidth="8.8515625" customHeight="1"/>
  <cols>
    <col min="1" max="1" width="14.28125" customWidth="1"/>
    <col min="2" max="4" width="17.140625" customWidth="1"/>
    <col min="5" max="5" width="20.00390625" customWidth="1"/>
    <col min="6" max="6" width="14.28125" customWidth="1"/>
    <col min="7" max="7" width="28.57421875" customWidth="1"/>
  </cols>
  <sheetData>
    <row r="1" ht="21" customHeight="1">
      <c r="A1" s="70" t="s">
        <v>309</v>
      </c>
    </row>
    <row r="2" ht="14.25" customHeight="1">
      <c r="A2" s="71" t="s">
        <v>310</v>
      </c>
    </row>
    <row r="4" ht="15" customHeight="1">
      <c r="A4" s="72" t="s">
        <v>89</v>
      </c>
      <c r="B4" s="72" t="s">
        <v>311</v>
      </c>
      <c r="C4" s="72" t="s">
        <v>312</v>
      </c>
      <c r="D4" s="72" t="s">
        <v>313</v>
      </c>
      <c r="E4" s="72" t="s">
        <v>314</v>
      </c>
      <c r="F4" s="72" t="s">
        <v>315</v>
      </c>
      <c r="G4" s="72" t="s">
        <v>316</v>
      </c>
    </row>
    <row r="5" ht="15" customHeight="1">
      <c r="A5" s="73" t="s">
        <v>111</v>
      </c>
      <c r="B5" s="73" t="s">
        <v>97</v>
      </c>
      <c r="C5" s="74">
        <v>150</v>
      </c>
      <c r="D5" s="74">
        <v>156.78</v>
      </c>
      <c r="E5" s="75" t="s">
        <v>317</v>
      </c>
      <c r="F5" s="73" t="s">
        <v>118</v>
      </c>
      <c r="G5" s="73" t="s">
        <v>318</v>
      </c>
    </row>
    <row r="6" ht="15" customHeight="1">
      <c r="A6" s="76" t="s">
        <v>128</v>
      </c>
      <c r="B6" s="76" t="s">
        <v>95</v>
      </c>
      <c r="C6" s="76" t="s">
        <v>69</v>
      </c>
      <c r="D6" s="76" t="s">
        <v>60</v>
      </c>
      <c r="E6" s="77" t="s">
        <v>319</v>
      </c>
      <c r="F6" s="76" t="s">
        <v>118</v>
      </c>
      <c r="G6" s="76" t="s">
        <v>320</v>
      </c>
    </row>
    <row r="7" ht="15" customHeight="1">
      <c r="A7" s="73" t="s">
        <v>133</v>
      </c>
      <c r="B7" s="73" t="s">
        <v>74</v>
      </c>
      <c r="C7" s="73" t="s">
        <v>78</v>
      </c>
      <c r="D7" s="73" t="s">
        <v>76</v>
      </c>
      <c r="E7" s="75" t="s">
        <v>321</v>
      </c>
      <c r="F7" s="73" t="s">
        <v>126</v>
      </c>
      <c r="G7" s="73" t="s">
        <v>322</v>
      </c>
    </row>
    <row r="8" ht="15" customHeight="1">
      <c r="A8" s="76" t="s">
        <v>153</v>
      </c>
      <c r="B8" s="76" t="s">
        <v>102</v>
      </c>
      <c r="C8" s="76" t="s">
        <v>83</v>
      </c>
      <c r="D8" s="76" t="s">
        <v>87</v>
      </c>
      <c r="E8" s="77" t="s">
        <v>323</v>
      </c>
      <c r="F8" s="76" t="s">
        <v>157</v>
      </c>
      <c r="G8" s="76" t="s">
        <v>324</v>
      </c>
    </row>
    <row r="9" ht="15" customHeight="1">
      <c r="A9" s="73" t="s">
        <v>172</v>
      </c>
      <c r="B9" s="73" t="s">
        <v>97</v>
      </c>
      <c r="C9" s="73">
        <v>1450</v>
      </c>
      <c r="D9" s="73">
        <v>1500</v>
      </c>
      <c r="E9" s="75" t="s">
        <v>325</v>
      </c>
      <c r="F9" s="73" t="s">
        <v>177</v>
      </c>
      <c r="G9" s="73" t="s">
        <v>326</v>
      </c>
    </row>
    <row r="10" ht="15" customHeight="1">
      <c r="A10" s="76" t="s">
        <v>184</v>
      </c>
      <c r="B10" s="76" t="s">
        <v>107</v>
      </c>
      <c r="C10" s="78"/>
      <c r="D10" s="78"/>
      <c r="E10" s="77" t="s">
        <v>327</v>
      </c>
      <c r="F10" s="76" t="s">
        <v>118</v>
      </c>
      <c r="G10" s="76" t="s">
        <v>328</v>
      </c>
    </row>
    <row r="11" ht="15" customHeight="1">
      <c r="A11" s="73" t="s">
        <v>196</v>
      </c>
      <c r="B11" s="73" t="s">
        <v>96</v>
      </c>
      <c r="C11" s="73" t="s">
        <v>329</v>
      </c>
      <c r="D11" s="73" t="s">
        <v>200</v>
      </c>
      <c r="E11" s="75" t="s">
        <v>330</v>
      </c>
      <c r="F11" s="73" t="s">
        <v>157</v>
      </c>
      <c r="G11" s="73" t="s">
        <v>331</v>
      </c>
    </row>
    <row r="12" ht="15" customHeight="1">
      <c r="A12" s="76" t="s">
        <v>215</v>
      </c>
      <c r="B12" s="76" t="s">
        <v>107</v>
      </c>
      <c r="C12" s="76" t="s">
        <v>77</v>
      </c>
      <c r="D12" s="76" t="s">
        <v>81</v>
      </c>
      <c r="E12" s="77" t="s">
        <v>332</v>
      </c>
      <c r="F12" s="76" t="s">
        <v>118</v>
      </c>
      <c r="G12" s="76" t="s">
        <v>333</v>
      </c>
    </row>
    <row r="14" ht="15" customHeight="1">
      <c r="A14" s="79" t="s">
        <v>334</v>
      </c>
    </row>
  </sheetData>
  <mergeCells>
    <mergeCell ref="A1:G1"/>
    <mergeCell ref="A2:G2"/>
    <mergeCell ref="A14:G14"/>
  </mergeCells>
  <printOptions/>
  <pageMargins left="0.7" right="0.7" top="0.75" bottom="0.75" header="0.3" footer="0.3"/>
  <pageSetup paperSize="1" orientation="portrait"/>
  <headerFooter>
    <oddHeader>&amp;L&amp;C&amp;R</oddHeader>
    <oddFooter>&amp;L&amp;C&amp;R</oddFooter>
  </headerFooter>
  <extLst/>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2025-12-26T06:21:37Z</dcterms:created>
</cp:coreProperties>
</file>