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/xl/workbook.xml"/><Relationship Id="rId2" Type="http://schemas.openxmlformats.org/package/2006/relationships/metadata/core-properties" Target="/docProps/core.xml"/><Relationship Id="rId3" Type="http://schemas.openxmlformats.org/officeDocument/2006/relationships/extended-properties" Target="/docProps/app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1" tabRatio="500"/>
  </bookViews>
  <sheets>
    <sheet r:id="rId1" name="Dashboard" sheetId="1"/>
    <sheet r:id="rId2" name="Cards" sheetId="2"/>
    <sheet r:id="rId3" name="Amortization" sheetId="3"/>
    <sheet r:id="rId4" name="SnowballPlan" sheetId="4"/>
    <sheet r:id="rId5" name="WhatIf" sheetId="5"/>
    <sheet r:id="rId6" name="Instructions" sheetId="6"/>
  </sheets>
  <calcPr calcId="0" iterate="1" iterateCount="1000" iterateDelta="0.01"/>
</workbook>
</file>

<file path=xl/sharedStrings.xml><?xml version="1.0" encoding="utf-8"?>
<sst xmlns="http://schemas.openxmlformats.org/spreadsheetml/2006/main" count="171" uniqueCount="171">
  <si>
    <t>CREDIT CARD PAYOFF TRACKER</t>
  </si>
  <si>
    <t>Track your debt payoff journey</t>
  </si>
  <si>
    <t>KEY METRICS</t>
  </si>
  <si>
    <t>Starting Total</t>
  </si>
  <si>
    <t>Current Total</t>
  </si>
  <si>
    <t>Total Paid Off</t>
  </si>
  <si>
    <t>Method:</t>
  </si>
  <si>
    <t>Snowball</t>
  </si>
  <si>
    <t>Total Minimums</t>
  </si>
  <si>
    <t>Extra Payment</t>
  </si>
  <si>
    <t>Est. Months to Finish</t>
  </si>
  <si>
    <t>Est. Payoff Date</t>
  </si>
  <si>
    <t>Monthly Payment</t>
  </si>
  <si>
    <t>CARD SUMMARY</t>
  </si>
  <si>
    <t>Card</t>
  </si>
  <si>
    <t>Balance</t>
  </si>
  <si>
    <t>APR</t>
  </si>
  <si>
    <t>Min Payment</t>
  </si>
  <si>
    <t>Priority</t>
  </si>
  <si>
    <t>Months Left</t>
  </si>
  <si>
    <t>Status</t>
  </si>
  <si>
    <t>Chase Freedom</t>
  </si>
  <si>
    <t>Active</t>
  </si>
  <si>
    <t>Capital One Quicksilver</t>
  </si>
  <si>
    <t>Discover It</t>
  </si>
  <si>
    <t>Citi Double Cash</t>
  </si>
  <si>
    <t>Month</t>
  </si>
  <si>
    <t>Card 1</t>
  </si>
  <si>
    <t>Card 2</t>
  </si>
  <si>
    <t>Card 3</t>
  </si>
  <si>
    <t>Card 4</t>
  </si>
  <si>
    <t>Total</t>
  </si>
  <si>
    <t>Category</t>
  </si>
  <si>
    <t>Amount</t>
  </si>
  <si>
    <t>Principal</t>
  </si>
  <si>
    <t>Interest</t>
  </si>
  <si>
    <t>DISCLAIMER: This is intended for personal use only. This is not financial advice.</t>
  </si>
  <si>
    <t>Free Credit Card Tracker by Credit Card Wind</t>
  </si>
  <si>
    <t>© Credit Card Wind. All rights reserved.</t>
  </si>
  <si>
    <t>ID</t>
  </si>
  <si>
    <t>Start Balance</t>
  </si>
  <si>
    <t>Current Balance</t>
  </si>
  <si>
    <t>Monthly Rate</t>
  </si>
  <si>
    <t>Due Day</t>
  </si>
  <si>
    <t>Notes</t>
  </si>
  <si>
    <t>MonthlyInterest</t>
  </si>
  <si>
    <t>PaymentApplied</t>
  </si>
  <si>
    <t>NewBalance</t>
  </si>
  <si>
    <t>ProjectedMonthsToPay</t>
  </si>
  <si>
    <t>Rewards card</t>
  </si>
  <si>
    <t>Cash back</t>
  </si>
  <si>
    <t>0% promo ending</t>
  </si>
  <si>
    <t>Main spending card</t>
  </si>
  <si>
    <t>AMORTIZATION SCHEDULE</t>
  </si>
  <si>
    <t>Monthly breakdown showing principal and interest for each payment</t>
  </si>
  <si>
    <t>Chase Freedom - Amortization</t>
  </si>
  <si>
    <t>Starting Balance:</t>
  </si>
  <si>
    <t>APR:</t>
  </si>
  <si>
    <t>Payment:</t>
  </si>
  <si>
    <t>Starting Bal</t>
  </si>
  <si>
    <t>Payment</t>
  </si>
  <si>
    <t>Ending Bal</t>
  </si>
  <si>
    <t>Cum Interest</t>
  </si>
  <si>
    <t>Cum Principal</t>
  </si>
  <si>
    <t>Capital One - Amortization</t>
  </si>
  <si>
    <t>Discover It - Amortization</t>
  </si>
  <si>
    <t>Citi Double Cash - Amortization</t>
  </si>
  <si>
    <t>SNOWBALL/AVALANCHE PAYMENT PLAN</t>
  </si>
  <si>
    <t>Extra Payment:</t>
  </si>
  <si>
    <t>How it works: Pay minimums on all cards, then apply extra payment to Priority 1 card. When a card is paid off, roll its payment to the next priority card.</t>
  </si>
  <si>
    <t>Min Pmt</t>
  </si>
  <si>
    <t>Month 1</t>
  </si>
  <si>
    <t>Month 2</t>
  </si>
  <si>
    <t>Month 3</t>
  </si>
  <si>
    <t>Month 4</t>
  </si>
  <si>
    <t>Month 5</t>
  </si>
  <si>
    <t>Month 6</t>
  </si>
  <si>
    <t>TOTAL</t>
  </si>
  <si>
    <t>PAYMENT ALLOCATION PER MONTH</t>
  </si>
  <si>
    <t>Extra</t>
  </si>
  <si>
    <t>Total Pmt</t>
  </si>
  <si>
    <t>WHAT-IF SCENARIO ANALYSIS</t>
  </si>
  <si>
    <t>Compare different payment strategies and see their impact</t>
  </si>
  <si>
    <t>CURRENT SITUATION</t>
  </si>
  <si>
    <t>Total Debt:</t>
  </si>
  <si>
    <t>Total Minimums:</t>
  </si>
  <si>
    <t>Current Extra:</t>
  </si>
  <si>
    <t>Est. Months:</t>
  </si>
  <si>
    <t>Est. Interest:</t>
  </si>
  <si>
    <t>EXTRA PAYMENT SCENARIOS</t>
  </si>
  <si>
    <t>Monthly Total</t>
  </si>
  <si>
    <t>Est. Months</t>
  </si>
  <si>
    <t>Est. Interest</t>
  </si>
  <si>
    <t>Time Saved</t>
  </si>
  <si>
    <t>Interest Saved</t>
  </si>
  <si>
    <t>CUSTOM SCENARIO</t>
  </si>
  <si>
    <t>Enter Extra Payment:</t>
  </si>
  <si>
    <t>Monthly Total:</t>
  </si>
  <si>
    <t>Time Saved:</t>
  </si>
  <si>
    <t>Interest Saved:</t>
  </si>
  <si>
    <t>KEY INSIGHTS</t>
  </si>
  <si>
    <t>• Every $50 extra saves approximately:</t>
  </si>
  <si>
    <t>months</t>
  </si>
  <si>
    <t>• Doubling your extra payment ($200) reduces payoff time by:</t>
  </si>
  <si>
    <t>• Maximum savings with $500/month extra:</t>
  </si>
  <si>
    <t>in interest</t>
  </si>
  <si>
    <t>CREDIT CARD PAYOFF TRACKER - INSTRUCTIONS</t>
  </si>
  <si>
    <t>Quick Start Guide &amp; Documentation</t>
  </si>
  <si>
    <t>QUICK START GUIDE</t>
  </si>
  <si>
    <t>1. Go to the Cards sheet and enter your credit card information</t>
  </si>
  <si>
    <t>2. Update Current Balance, APR, and Min Payment for each card</t>
  </si>
  <si>
    <t>3. On Dashboard, choose your payoff Method (Snowball or Avalanche)</t>
  </si>
  <si>
    <t>4. Enter your Extra Payment amount on the Dashboard</t>
  </si>
  <si>
    <t>5. Review your estimated payoff timeline and total interest</t>
  </si>
  <si>
    <t>6. Use WhatIf sheet to compare different payment strategies</t>
  </si>
  <si>
    <t>7. Check SnowballPlan for monthly payment allocation details</t>
  </si>
  <si>
    <t>8. Review Amortization for detailed payment breakdowns</t>
  </si>
  <si>
    <t>Tip: Yellow cells are editable inputs. Blue cells contain formulas.</t>
  </si>
  <si>
    <t>SHEET DESCRIPTIONS</t>
  </si>
  <si>
    <t>Dashboard - Main overview with key metrics and charts</t>
  </si>
  <si>
    <t>Cards - Enter and manage your credit card details here</t>
  </si>
  <si>
    <t>Amortization - Monthly payment breakdown for each card</t>
  </si>
  <si>
    <t>SnowballPlan - Month-by-month payment allocation using your chosen method</t>
  </si>
  <si>
    <t>WhatIf - Scenario analysis to compare different extra payment amounts</t>
  </si>
  <si>
    <t>Instructions - This help document (you are here)</t>
  </si>
  <si>
    <t>NAMED RANGES REFERENCE</t>
  </si>
  <si>
    <t>Range Name</t>
  </si>
  <si>
    <t>Location</t>
  </si>
  <si>
    <t>Description</t>
  </si>
  <si>
    <t>MethodCell</t>
  </si>
  <si>
    <t>Dashboard!C8</t>
  </si>
  <si>
    <t>Snowball or Avalanche toggle</t>
  </si>
  <si>
    <t>ExtraPaymentCell</t>
  </si>
  <si>
    <t>Dashboard!F9</t>
  </si>
  <si>
    <t>Your extra monthly payment amount</t>
  </si>
  <si>
    <t>TotalCurrentBalance</t>
  </si>
  <si>
    <t>Dashboard!D7</t>
  </si>
  <si>
    <t>Sum of all current balances</t>
  </si>
  <si>
    <t>TotalStartingBalance</t>
  </si>
  <si>
    <t>Dashboard!B7</t>
  </si>
  <si>
    <t>Sum of all starting balances</t>
  </si>
  <si>
    <t>EstMonthsToFinish</t>
  </si>
  <si>
    <t>Dashboard!B11</t>
  </si>
  <si>
    <t>Estimated months to pay off all debt</t>
  </si>
  <si>
    <t>EstPayoffDate</t>
  </si>
  <si>
    <t>Dashboard!D11</t>
  </si>
  <si>
    <t>Estimated debt-free date</t>
  </si>
  <si>
    <t>CardsTbl</t>
  </si>
  <si>
    <t>Cards!A1:P5</t>
  </si>
  <si>
    <t>Main card data table</t>
  </si>
  <si>
    <t>EXPORTING TO PDF</t>
  </si>
  <si>
    <t>To export the Dashboard as a PDF:</t>
  </si>
  <si>
    <t>1. Go to the Dashboard sheet</t>
  </si>
  <si>
    <t>2. Select File &gt; Print (or press Ctrl+P)</t>
  </si>
  <si>
    <t>3. Choose 'Microsoft Print to PDF' or 'Save as PDF'</t>
  </si>
  <si>
    <t>4. Set Print Area to A1:G30 for best results</t>
  </si>
  <si>
    <t>5. Choose Portrait orientation, Letter or A4 paper size</t>
  </si>
  <si>
    <t>MACRO INFORMATION (OPTIONAL)</t>
  </si>
  <si>
    <t>This workbook is fully functional without macros enabled.</t>
  </si>
  <si>
    <t>If macros were included, they would provide:</t>
  </si>
  <si>
    <t>• CreateBackup() - Saves a dated backup copy to the same folder</t>
  </si>
  <si>
    <t>• ExportToPDF() - Exports Dashboard to PDF automatically</t>
  </si>
  <si>
    <t>• UnlockFormulas() - Prompts to unprotect sheets for editing</t>
  </si>
  <si>
    <t>Note: To add macros, save as .xlsm format and add VBA code.</t>
  </si>
  <si>
    <t>TIPS &amp; TROUBLESHOOTING</t>
  </si>
  <si>
    <t>• APR should be entered as a decimal (e.g., 0.1999 for 19.99%)</t>
  </si>
  <si>
    <t>• Min Payment must be greater than monthly interest to make progress</t>
  </si>
  <si>
    <t>• If you see 'Payment too low', increase your minimum payment</t>
  </si>
  <si>
    <t>• #N/A errors indicate a calculation issue - check your inputs</t>
  </si>
  <si>
    <t>• Snowball = pay smallest balance first (psychological wins)</t>
  </si>
  <si>
    <t>• Avalanche = pay highest APR first (saves most interest)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</si>
</sst>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3676" formatCode="M/d/yyyy"/>
    <numFmt numFmtId="3677" formatCode="_(* #,##0.00_);_(* (#,##0.00);_(* &quot;-&quot;??_);_(@_)"/>
    <numFmt numFmtId="3685" formatCode="$#,##0.00"/>
  </numFmts>
  <fonts count="17">
    <font>
      <sz val="11"/>
      <color theme="1"/>
      <name val="Calibri"/>
      <scheme val="minor"/>
    </font>
    <font>
      <b/>
      <i val="0"/>
      <sz val="16"/>
      <color rgb="FFFFFFFF"/>
      <name val="Aptos Narrow"/>
    </font>
    <font>
      <b val="0"/>
      <i val="0"/>
      <sz val="11"/>
      <color rgb="FFFFFFFF"/>
      <name val="Aptos Narrow"/>
    </font>
    <font>
      <b/>
      <i val="0"/>
      <sz val="12"/>
      <color rgb="FFFFFFFF"/>
      <name val="Aptos Narrow"/>
    </font>
    <font>
      <b/>
      <i val="0"/>
      <sz val="11"/>
      <name val="Aptos Narrow"/>
    </font>
    <font>
      <b/>
      <i val="0"/>
      <sz val="14"/>
      <name val="Aptos Narrow"/>
    </font>
    <font>
      <name val="Calibri"/>
      <scheme val="minor"/>
    </font>
    <font>
      <b/>
      <i val="0"/>
      <sz val="11"/>
      <color rgb="FFFFFFFF"/>
      <name val="Aptos Narrow"/>
    </font>
    <font>
      <b val="0"/>
      <i/>
      <sz val="11"/>
      <color rgb="FF666666"/>
      <name val="Aptos Narrow"/>
    </font>
    <font>
      <b val="0"/>
      <i val="0"/>
      <sz val="11"/>
      <color rgb="FF666666"/>
      <name val="Aptos Narrow"/>
    </font>
    <font>
      <b val="0"/>
      <i val="0"/>
      <sz val="9"/>
      <color rgb="FF999999"/>
      <name val="Aptos Narrow"/>
    </font>
    <font>
      <b/>
      <i val="0"/>
      <sz val="14"/>
      <color rgb="FFFFFFFF"/>
      <name val="Aptos Narrow"/>
    </font>
    <font>
      <b val="0"/>
      <i/>
      <sz val="11"/>
      <name val="Aptos Narrow"/>
    </font>
    <font>
      <b/>
      <i val="0"/>
      <sz val="12"/>
      <name val="Aptos Narrow"/>
    </font>
    <font>
      <b val="0"/>
      <i val="0"/>
      <sz val="11"/>
      <name val="Aptos Narrow"/>
    </font>
    <font>
      <b val="0"/>
      <i/>
      <sz val="10"/>
      <name val="Aptos Narrow"/>
    </font>
    <font>
      <b val="0"/>
      <i val="0"/>
      <sz val="10"/>
      <name val="Aptos Narrow"/>
    </font>
  </fonts>
  <fills count="10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4472C4"/>
      </patternFill>
    </fill>
    <fill>
      <patternFill patternType="solid">
        <fgColor rgb="FFFFFF99"/>
      </patternFill>
    </fill>
    <fill>
      <patternFill patternType="solid">
        <fgColor rgb="FFD9E1F2"/>
      </patternFill>
    </fill>
    <fill>
      <patternFill patternType="solid">
        <fgColor rgb="FFF2F2F2"/>
      </patternFill>
    </fill>
    <fill>
      <patternFill patternType="solid">
        <fgColor rgb="FFF0F0F0"/>
      </patternFill>
    </fill>
    <fill>
      <patternFill patternType="solid">
        <fgColor rgb="FFFFF2CC"/>
      </patternFill>
    </fill>
    <fill>
      <patternFill patternType="solid">
        <fgColor rgb="FFFFFF00"/>
      </patternFill>
    </fill>
  </fills>
  <borders count="3">
    <border>
      <left/>
      <right/>
      <top/>
      <bottom/>
    </border>
    <border>
      <left>
        <color rgb="FF000000"/>
      </left>
      <right>
        <color rgb="FF000000"/>
      </right>
      <top>
        <color rgb="FF000000"/>
      </top>
      <bottom>
        <color rgb="FF000000"/>
      </bottom>
    </border>
    <border>
      <bottom style="thin">
        <color rgb="FF000000"/>
      </bottom>
    </border>
  </borders>
  <cellStyleXfs count="1">
    <xf numFmtId="0" fontId="0" fillId="0" borderId="1">
      <alignment horizontal="general" vertical="top"/>
    </xf>
  </cellStyleXfs>
  <cellXfs count="48">
    <xf numFmtId="0" fontId="0" fillId="0" borderId="1" xfId="0">
      <alignment vertical="top"/>
    </xf>
    <xf numFmtId="0" fontId="1" fillId="2" borderId="0" xfId="0">
      <alignment horizontal="center" vertical="center"/>
    </xf>
    <xf numFmtId="0" fontId="2" fillId="2" borderId="0" xfId="0">
      <alignment horizontal="center" vertical="center"/>
    </xf>
    <xf numFmtId="0" fontId="3" fillId="3" borderId="0" xfId="0">
      <alignment horizontal="center" vertical="center"/>
    </xf>
    <xf numFmtId="0" fontId="4" fillId="0" borderId="0" xfId="0">
      <alignment horizontal="center" vertical="bottom"/>
    </xf>
    <xf numFmtId="0" fontId="5" fillId="0" borderId="0" xfId="0">
      <alignment horizontal="center" vertical="top"/>
    </xf>
    <xf numFmtId="0" fontId="4" fillId="4" borderId="0" xfId="0">
      <alignment horizontal="center" vertical="top"/>
    </xf>
    <xf numFmtId="3676" fontId="5" fillId="0" borderId="0" xfId="0">
      <alignment horizontal="center" vertical="top"/>
    </xf>
    <xf numFmtId="0" fontId="4" fillId="5" borderId="2" xfId="0">
      <alignment horizontal="center" vertical="top"/>
    </xf>
    <xf numFmtId="3677" fontId="6" fillId="0" borderId="0" xfId="0">
      <alignment vertical="top"/>
    </xf>
    <xf numFmtId="10" fontId="6" fillId="0" borderId="0" xfId="0">
      <alignment vertical="top"/>
    </xf>
    <xf numFmtId="3" fontId="6" fillId="0" borderId="0" xfId="0">
      <alignment vertical="top"/>
    </xf>
    <xf numFmtId="0" fontId="7" fillId="2" borderId="0" xfId="0">
      <alignment vertical="top"/>
    </xf>
    <xf numFmtId="3685" fontId="6" fillId="0" borderId="0" xfId="0">
      <alignment vertical="top"/>
    </xf>
    <xf numFmtId="0" fontId="8" fillId="0" borderId="0" xfId="0">
      <alignment horizontal="center" vertical="center"/>
    </xf>
    <xf numFmtId="0" fontId="9" fillId="0" borderId="0" xfId="0">
      <alignment horizontal="center" vertical="center"/>
    </xf>
    <xf numFmtId="0" fontId="10" fillId="0" borderId="0" xfId="0">
      <alignment horizontal="center" vertical="center"/>
    </xf>
    <xf numFmtId="0" fontId="7" fillId="2" borderId="0" xfId="0">
      <alignment horizontal="center" vertical="center"/>
    </xf>
    <xf numFmtId="3" fontId="6" fillId="0" borderId="0" xfId="0">
      <alignment horizontal="left" vertical="center"/>
    </xf>
    <xf numFmtId="0" fontId="6" fillId="0" borderId="0" xfId="0">
      <alignment horizontal="left" vertical="center"/>
    </xf>
    <xf numFmtId="3677" fontId="6" fillId="0" borderId="0" xfId="0">
      <alignment horizontal="left" vertical="center"/>
    </xf>
    <xf numFmtId="10" fontId="6" fillId="0" borderId="0" xfId="0">
      <alignment horizontal="left" vertical="center"/>
    </xf>
    <xf numFmtId="4" fontId="6" fillId="0" borderId="0" xfId="0">
      <alignment horizontal="left" vertical="center"/>
    </xf>
    <xf numFmtId="0" fontId="11" fillId="2" borderId="0" xfId="0">
      <alignment horizontal="center" vertical="center"/>
    </xf>
    <xf numFmtId="0" fontId="6" fillId="0" borderId="0" xfId="0">
      <alignment horizontal="center" vertical="center"/>
    </xf>
    <xf numFmtId="0" fontId="4" fillId="0" borderId="0" xfId="0">
      <alignment vertical="top"/>
    </xf>
    <xf numFmtId="0" fontId="4" fillId="5" borderId="0" xfId="0">
      <alignment horizontal="center" vertical="top"/>
    </xf>
    <xf numFmtId="3" fontId="6" fillId="6" borderId="0" xfId="0">
      <alignment vertical="top"/>
    </xf>
    <xf numFmtId="3677" fontId="6" fillId="6" borderId="0" xfId="0">
      <alignment vertical="top"/>
    </xf>
    <xf numFmtId="0" fontId="12" fillId="7" borderId="0" xfId="0">
      <alignment vertical="top"/>
    </xf>
    <xf numFmtId="0" fontId="7" fillId="2" borderId="0" xfId="0">
      <alignment horizontal="center" vertical="top"/>
    </xf>
    <xf numFmtId="0" fontId="3" fillId="2" borderId="0" xfId="0">
      <alignment horizontal="center" vertical="top"/>
    </xf>
    <xf numFmtId="49" fontId="12" fillId="0" borderId="0" xfId="0">
      <alignment horizontal="center" vertical="top"/>
    </xf>
    <xf numFmtId="0" fontId="3" fillId="3" borderId="0" xfId="0">
      <alignment horizontal="left" vertical="center"/>
    </xf>
    <xf numFmtId="49" fontId="6" fillId="0" borderId="0" xfId="0">
      <alignment vertical="top"/>
    </xf>
    <xf numFmtId="49" fontId="4" fillId="5" borderId="0" xfId="0">
      <alignment horizontal="center" vertical="top"/>
    </xf>
    <xf numFmtId="3677" fontId="6" fillId="8" borderId="0" xfId="0">
      <alignment vertical="top"/>
    </xf>
    <xf numFmtId="3" fontId="6" fillId="8" borderId="0" xfId="0">
      <alignment vertical="top"/>
    </xf>
    <xf numFmtId="49" fontId="4" fillId="0" borderId="0" xfId="0">
      <alignment vertical="top"/>
    </xf>
    <xf numFmtId="3677" fontId="6" fillId="9" borderId="0" xfId="0">
      <alignment vertical="top"/>
    </xf>
    <xf numFmtId="0" fontId="13" fillId="5" borderId="0" xfId="0">
      <alignment horizontal="left" vertical="top"/>
    </xf>
    <xf numFmtId="0" fontId="3" fillId="3" borderId="0" xfId="0">
      <alignment horizontal="left" vertical="top"/>
    </xf>
    <xf numFmtId="0" fontId="14" fillId="0" borderId="0" xfId="0">
      <alignment vertical="top"/>
    </xf>
    <xf numFmtId="0" fontId="4" fillId="5" borderId="0" xfId="0">
      <alignment horizontal="left" vertical="top"/>
    </xf>
    <xf numFmtId="0" fontId="6" fillId="0" borderId="2" xfId="0">
      <alignment vertical="top"/>
    </xf>
    <xf numFmtId="0" fontId="15" fillId="0" borderId="0" xfId="0">
      <alignment horizontal="center" vertical="top"/>
    </xf>
    <xf numFmtId="0" fontId="14" fillId="0" borderId="0" xfId="0">
      <alignment horizontal="center" vertical="top"/>
    </xf>
    <xf numFmtId="0" fontId="16" fillId="0" borderId="0" xfId="0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tyles" Target="styles.xml"/><Relationship Id="rId8" Type="http://schemas.openxmlformats.org/officeDocument/2006/relationships/theme" Target="theme/theme1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</Relationships>
</file>

<file path=xl/charts/chart1.xml><?xml version="1.0" encoding="utf-8"?>
<c:chartSpace xmlns:a="http://schemas.openxmlformats.org/drawingml/2006/main" xmlns:r="http://schemas.openxmlformats.org/officeDocument/2006/relationships" xmlns:c="http://schemas.openxmlformats.org/drawingml/2006/chart" xmlns:c16r2="http://schemas.microsoft.com/office/drawing/2015/06/chart">
  <c:roundedCorners val="0"/>
  <c:chart>
    <c:title>
      <c:tx>
        <c:rich>
          <a:bodyPr/>
          <a:p>
            <a:pPr>
              <a:defRPr sz="1050" b="0">
                <a:solidFill>
                  <a:srgbClr val="333333"/>
                </a:solidFill>
                <a:latin typeface="Arial"/>
              </a:defRPr>
            </a:pPr>
            <a:r>
              <a:rPr sz="1050" b="0">
                <a:solidFill>
                  <a:srgbClr val="333333"/>
                </a:solidFill>
                <a:latin typeface="Arial"/>
              </a:rPr>
              <a:t>Balance Overview</a:t>
            </a:r>
            <a:endParaRPr/>
          </a:p>
        </c:rich>
      </c:tx>
      <c:overlay val="0"/>
      <c:spPr>
        <a:noFill/>
        <a:ln>
          <a:noFill/>
        </a:ln>
      </c:spPr>
    </c:title>
    <c:autoTitleDeleted val="0"/>
    <c:plotArea>
      <c:barChart chartType="6">
        <c:ser seriesType="0">
          <c:idx val="0"/>
          <c:order val="0"/>
          <c:tx>
            <c:strRef>
              <c:f>Dashboard!$A$15</c:f>
            </c:strRef>
          </c:tx>
          <c:spPr>
            <a:solidFill>
              <a:schemeClr val="accent1"/>
            </a:solidFill>
          </c:spPr>
          <c:val>
            <c:numRef>
              <c:f>Dashboard!$A$16:$A$18</c:f>
              <c:numCache>
                <c:formatCode>General</c:formatCode>
              </c:numCache>
            </c:numRef>
          </c:val>
          <c:extLst/>
          <c:invertIfNegative val="0"/>
        </c:ser>
        <c:ser seriesType="0">
          <c:idx val="1"/>
          <c:order val="1"/>
          <c:tx>
            <c:strRef>
              <c:f>Cards!$C$2</c:f>
            </c:strRef>
          </c:tx>
          <c:spPr>
            <a:solidFill>
              <a:schemeClr val="accent2"/>
            </a:solidFill>
          </c:spPr>
          <c:val>
            <c:numRef>
              <c:f>Cards!$C$3:$C$5</c:f>
              <c:numCache>
                <c:formatCode>_(* #,##0.00_);_(* (#,##0.00);_(* "-"??_);_(@_)</c:formatCode>
              </c:numCache>
            </c:numRef>
          </c:val>
          <c:extLst/>
          <c:invertIfNegative val="0"/>
        </c:ser>
        <c:ser seriesType="0">
          <c:idx val="2"/>
          <c:order val="2"/>
          <c:tx>
            <c:strRef>
              <c:f>Cards!$D$2</c:f>
            </c:strRef>
          </c:tx>
          <c:spPr>
            <a:solidFill>
              <a:schemeClr val="accent3"/>
            </a:solidFill>
          </c:spPr>
          <c:val>
            <c:numRef>
              <c:f>Cards!$D$3:$D$5</c:f>
              <c:numCache>
                <c:formatCode>_(* #,##0.00_);_(* (#,##0.00);_(* "-"??_);_(@_)</c:formatCode>
              </c:numCache>
            </c:numRef>
          </c:val>
          <c:extLst/>
          <c:invertIfNegative val="0"/>
        </c:ser>
        <c:axId val="40136647"/>
        <c:axId val="95713122"/>
        <c:barDir val="bar"/>
        <c:grouping val="stacked"/>
        <c:gapWidth val="150"/>
        <c:varyColors val="0"/>
        <c:overlap val="100"/>
      </c:barChart>
      <c:catAx axisType="0">
        <c:axId val="40136647"/>
        <c:delete val="0"/>
        <c:majorTickMark val="none"/>
        <c:minorTickMark val="none"/>
        <c:tickLblPos val="nextTo"/>
        <c:axPos val="l"/>
        <c:scaling>
          <c:orientation val="minMax"/>
        </c:scaling>
        <c:spPr>
          <a:ln w="9525">
            <a:solidFill>
              <a:schemeClr val="tx1">
                <a:lumMod val="15000"/>
                <a:lumOff val="85000"/>
              </a:schemeClr>
            </a:solidFill>
          </a:ln>
        </c:spPr>
        <c:numFmt formatCode="General"/>
        <c:txPr>
          <a:bodyPr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r>
              <a: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rPr>
              <a:t/>
            </a:r>
            <a:endParaRPr/>
          </a:p>
        </c:txPr>
        <c:auto val="1"/>
        <c:lblOffset val="0"/>
        <c:tickMarkSkip val="1"/>
        <c:noMultiLvlLbl val="1"/>
        <c:crosses val="autoZero"/>
        <c:crossAx val="95713122"/>
      </c:catAx>
      <c:valAx axisType="3">
        <c:axId val="95713122"/>
        <c:delete val="0"/>
        <c:majorTickMark val="none"/>
        <c:minorTickMark val="none"/>
        <c:tickLblPos val="nextTo"/>
        <c:axPos val="l"/>
        <c:scaling>
          <c:orientation val="minMax"/>
        </c:scaling>
        <c:spPr>
          <a:ln w="9525">
            <a:solidFill>
              <a:schemeClr val="tx1">
                <a:lumMod val="15000"/>
                <a:lumOff val="85000"/>
              </a:schemeClr>
            </a:solidFill>
          </a:ln>
        </c:spPr>
        <c:numFmt formatCode="General"/>
        <c:txPr>
          <a:bodyPr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r>
              <a: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rPr>
              <a:t/>
            </a:r>
            <a:endParaRPr/>
          </a:p>
        </c:txPr>
        <c:majorGridlines>
          <c:spPr>
            <a:ln w="9525">
              <a:solidFill>
                <a:srgbClr val="d9d9d9"/>
              </a:solidFill>
            </a:ln>
          </c:spPr>
        </c:majorGridlines>
        <c:crosses val="autoZero"/>
        <c:crossBetween val="between"/>
        <c:crossAx val="40136647"/>
      </c:valAx>
      <c:spPr>
        <a:noFill/>
        <a:ln>
          <a:noFill/>
        </a:ln>
      </c:spPr>
    </c:plotArea>
    <c:legend>
      <c:legendPos val="b"/>
      <c:overlay val="0"/>
      <c:spPr>
        <a:noFill/>
        <a:ln>
          <a:noFill/>
        </a:ln>
      </c:spPr>
      <c:txPr>
        <a:bodyPr/>
        <a:p>
          <a:pPr>
            <a:defRPr sz="750" b="0">
              <a:solidFill>
                <a:schemeClr val="tx1">
                  <a:lumMod val="65000"/>
                  <a:lumOff val="35000"/>
                </a:schemeClr>
              </a:solidFill>
              <a:latin typeface="Arial"/>
            </a:defRPr>
          </a:pPr>
          <a:r>
            <a:rPr sz="750" b="0">
              <a:solidFill>
                <a:schemeClr val="tx1">
                  <a:lumMod val="65000"/>
                  <a:lumOff val="35000"/>
                </a:schemeClr>
              </a:solidFill>
              <a:latin typeface="Arial"/>
            </a:rPr>
            <a:t/>
          </a:r>
          <a:endParaRPr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0"/>
        </c16r3:dataDisplayOptions16>
      </c:ext>
    </c:extLst>
  </c:chart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4"/>
    </mc:Fallback>
  </mc:AlternateContent>
  <c:spPr>
    <a:solidFill>
      <a:schemeClr val="bg1"/>
    </a:solidFill>
    <a:ln w="9525">
      <a:solidFill>
        <a:schemeClr val="tx1">
          <a:lumMod val="15000"/>
          <a:lumOff val="85000"/>
        </a:schemeClr>
      </a:solidFill>
    </a:ln>
  </c:spPr>
  <c:txPr>
    <a:bodyPr/>
    <a:p>
      <a:pPr>
        <a:defRPr b="0">
          <a:solidFill>
            <a:schemeClr val="tx1">
              <a:lumMod val="65000"/>
              <a:lumOff val="35000"/>
            </a:schemeClr>
          </a:solidFill>
          <a:latin typeface="+mn-lt"/>
        </a:defRPr>
      </a:pPr>
      <a:r>
        <a:rPr b="0">
          <a:solidFill>
            <a:schemeClr val="tx1">
              <a:lumMod val="65000"/>
              <a:lumOff val="35000"/>
            </a:schemeClr>
          </a:solidFill>
          <a:latin typeface="+mn-lt"/>
        </a:rPr>
        <a:t/>
      </a:r>
      <a:endParaRPr/>
    </a:p>
  </c:txPr>
</c:chartSpace>
</file>

<file path=xl/charts/chart2.xml><?xml version="1.0" encoding="utf-8"?>
<c:chartSpace xmlns:a="http://schemas.openxmlformats.org/drawingml/2006/main" xmlns:r="http://schemas.openxmlformats.org/officeDocument/2006/relationships" xmlns:c="http://schemas.openxmlformats.org/drawingml/2006/chart" xmlns:c16r2="http://schemas.microsoft.com/office/drawing/2015/06/chart">
  <c:roundedCorners val="0"/>
  <c:chart>
    <c:title>
      <c:tx>
        <c:rich>
          <a:bodyPr/>
          <a:p>
            <a:pPr>
              <a:defRPr sz="1050" b="0">
                <a:solidFill>
                  <a:srgbClr val="333333"/>
                </a:solidFill>
                <a:latin typeface="Arial"/>
              </a:defRPr>
            </a:pPr>
            <a:r>
              <a:rPr sz="1050" b="0">
                <a:solidFill>
                  <a:srgbClr val="333333"/>
                </a:solidFill>
                <a:latin typeface="Arial"/>
              </a:rPr>
              <a:t>Projected Debt Payoff</a:t>
            </a:r>
            <a:endParaRPr/>
          </a:p>
        </c:rich>
      </c:tx>
      <c:overlay val="0"/>
      <c:spPr>
        <a:noFill/>
        <a:ln>
          <a:noFill/>
        </a:ln>
      </c:spPr>
    </c:title>
    <c:autoTitleDeleted val="0"/>
    <c:plotArea>
      <c:lineChart chartType="8">
        <c:ser seriesType="2">
          <c:idx val="0"/>
          <c:order val="0"/>
          <c:tx>
            <c:strRef>
              <c:f>Dashboard!$M$20:$M$21</c:f>
            </c:strRef>
          </c:tx>
          <c:spPr>
            <a:solidFill>
              <a:schemeClr val="accent1"/>
            </a:solidFill>
            <a:ln w="19050"/>
          </c:spPr>
          <c:cat>
            <c:numRef>
              <c:f>Dashboard!$H$22:$H$26</c:f>
              <c:numCache>
                <c:formatCode>General</c:formatCode>
              </c:numCache>
            </c:numRef>
          </c:cat>
          <c:val>
            <c:numRef>
              <c:f>Dashboard!$M$22:$M$26</c:f>
              <c:numCache>
                <c:formatCode>$#,##0.00</c:formatCode>
              </c:numCache>
            </c:numRef>
          </c:val>
          <c:extLst/>
          <c:smooth val="0"/>
          <c:marker>
            <c:symbol val="none"/>
          </c:marker>
        </c:ser>
        <c:axId val="63764796"/>
        <c:axId val="33409034"/>
        <c:grouping val="standard"/>
        <c:varyColors val="0"/>
        <c:smooth val="0"/>
        <c:marker val="0"/>
      </c:lineChart>
      <c:catAx axisType="0">
        <c:axId val="63764796"/>
        <c:delete val="0"/>
        <c:majorTickMark val="none"/>
        <c:minorTickMark val="none"/>
        <c:tickLblPos val="nextTo"/>
        <c:axPos val="b"/>
        <c:scaling>
          <c:orientation val="minMax"/>
        </c:scaling>
        <c:spPr>
          <a:ln w="9525">
            <a:solidFill>
              <a:schemeClr val="tx1">
                <a:lumMod val="15000"/>
                <a:lumOff val="85000"/>
              </a:schemeClr>
            </a:solidFill>
          </a:ln>
        </c:spPr>
        <c:numFmt formatCode="General"/>
        <c:txPr>
          <a:bodyPr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r>
              <a: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rPr>
              <a:t/>
            </a:r>
            <a:endParaRPr/>
          </a:p>
        </c:txPr>
        <c:auto val="1"/>
        <c:lblOffset val="0"/>
        <c:tickMarkSkip val="1"/>
        <c:noMultiLvlLbl val="1"/>
        <c:crosses val="autoZero"/>
        <c:crossAx val="33409034"/>
      </c:catAx>
      <c:valAx axisType="3">
        <c:axId val="33409034"/>
        <c:delete val="0"/>
        <c:majorTickMark val="none"/>
        <c:minorTickMark val="none"/>
        <c:tickLblPos val="nextTo"/>
        <c:axPos val="l"/>
        <c:scaling>
          <c:orientation val="minMax"/>
        </c:scaling>
        <c:spPr>
          <a:ln w="9525">
            <a:solidFill>
              <a:schemeClr val="tx1">
                <a:lumMod val="15000"/>
                <a:lumOff val="85000"/>
              </a:schemeClr>
            </a:solidFill>
          </a:ln>
        </c:spPr>
        <c:numFmt formatCode="$#,##0.00"/>
        <c:txPr>
          <a:bodyPr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r>
              <a: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rPr>
              <a:t/>
            </a:r>
            <a:endParaRPr/>
          </a:p>
        </c:txPr>
        <c:majorGridlines>
          <c:spPr>
            <a:ln w="9525">
              <a:solidFill>
                <a:srgbClr val="d9d9d9"/>
              </a:solidFill>
            </a:ln>
          </c:spPr>
        </c:majorGridlines>
        <c:crosses val="autoZero"/>
        <c:crossBetween val="between"/>
        <c:crossAx val="63764796"/>
      </c:valAx>
      <c:spPr>
        <a:noFill/>
        <a:ln>
          <a:noFill/>
        </a:ln>
      </c:spPr>
    </c:plotArea>
    <c:legend>
      <c:legendPos val="b"/>
      <c:overlay val="0"/>
      <c:spPr>
        <a:noFill/>
        <a:ln>
          <a:noFill/>
        </a:ln>
      </c:spPr>
      <c:txPr>
        <a:bodyPr/>
        <a:p>
          <a:pPr>
            <a:defRPr sz="750" b="0">
              <a:solidFill>
                <a:schemeClr val="tx1">
                  <a:lumMod val="65000"/>
                  <a:lumOff val="35000"/>
                </a:schemeClr>
              </a:solidFill>
              <a:latin typeface="Arial"/>
            </a:defRPr>
          </a:pPr>
          <a:r>
            <a:rPr sz="750" b="0">
              <a:solidFill>
                <a:schemeClr val="tx1">
                  <a:lumMod val="65000"/>
                  <a:lumOff val="35000"/>
                </a:schemeClr>
              </a:solidFill>
              <a:latin typeface="Arial"/>
            </a:rPr>
            <a:t/>
          </a:r>
          <a:endParaRPr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0"/>
        </c16r3:dataDisplayOptions16>
      </c:ext>
    </c:extLst>
  </c:chart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4"/>
    </mc:Fallback>
  </mc:AlternateContent>
  <c:spPr>
    <a:solidFill>
      <a:schemeClr val="bg1"/>
    </a:solidFill>
    <a:ln w="9525">
      <a:solidFill>
        <a:schemeClr val="tx1">
          <a:lumMod val="15000"/>
          <a:lumOff val="85000"/>
        </a:schemeClr>
      </a:solidFill>
    </a:ln>
  </c:spPr>
  <c:txPr>
    <a:bodyPr/>
    <a:p>
      <a:pPr>
        <a:defRPr b="0">
          <a:solidFill>
            <a:schemeClr val="tx1">
              <a:lumMod val="65000"/>
              <a:lumOff val="35000"/>
            </a:schemeClr>
          </a:solidFill>
          <a:latin typeface="+mn-lt"/>
        </a:defRPr>
      </a:pPr>
      <a:r>
        <a:rPr b="0">
          <a:solidFill>
            <a:schemeClr val="tx1">
              <a:lumMod val="65000"/>
              <a:lumOff val="35000"/>
            </a:schemeClr>
          </a:solidFill>
          <a:latin typeface="+mn-lt"/>
        </a:rPr>
        <a:t/>
      </a:r>
      <a:endParaRPr/>
    </a:p>
  </c:txPr>
</c:chartSpace>
</file>

<file path=xl/charts/chart3.xml><?xml version="1.0" encoding="utf-8"?>
<c:chartSpace xmlns:a="http://schemas.openxmlformats.org/drawingml/2006/main" xmlns:r="http://schemas.openxmlformats.org/officeDocument/2006/relationships" xmlns:c="http://schemas.openxmlformats.org/drawingml/2006/chart" xmlns:c16r2="http://schemas.microsoft.com/office/drawing/2015/06/chart">
  <c:roundedCorners val="0"/>
  <c:chart>
    <c:title>
      <c:tx>
        <c:rich>
          <a:bodyPr/>
          <a:p>
            <a:pPr>
              <a:defRPr sz="1050" b="0">
                <a:solidFill>
                  <a:srgbClr val="333333"/>
                </a:solidFill>
                <a:latin typeface="Arial"/>
              </a:defRPr>
            </a:pPr>
            <a:r>
              <a:rPr sz="1050" b="0">
                <a:solidFill>
                  <a:srgbClr val="333333"/>
                </a:solidFill>
                <a:latin typeface="Arial"/>
              </a:rPr>
              <a:t>Payment Breakdown (Estimated)</a:t>
            </a:r>
            <a:endParaRPr/>
          </a:p>
        </c:rich>
      </c:tx>
      <c:overlay val="0"/>
      <c:spPr>
        <a:noFill/>
        <a:ln>
          <a:noFill/>
        </a:ln>
      </c:spPr>
    </c:title>
    <c:autoTitleDeleted val="0"/>
    <c:plotArea>
      <c:pieChart chartType="10">
        <c:ser seriesType="3">
          <c:dPt>
            <c:idx val="0"/>
            <c:invertIfNegative val="0"/>
            <c:spPr>
              <a:solidFill>
                <a:schemeClr val="accent1"/>
              </a:solidFill>
              <a:ln w="19050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dPt>
            <c:idx val="1"/>
            <c:invertIfNegative val="0"/>
            <c:spPr>
              <a:solidFill>
                <a:schemeClr val="accent2"/>
              </a:solidFill>
              <a:ln w="19050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idx val="0"/>
          <c:order val="0"/>
          <c:tx>
            <c:strRef>
              <c:f>Dashboard!$I$28</c:f>
            </c:strRef>
          </c:tx>
          <c:spPr>
            <a:ln w="19050">
              <a:solidFill>
                <a:srgbClr val="ffffff"/>
              </a:solidFill>
              <a:prstDash val="solid"/>
            </a:ln>
          </c:spPr>
          <c:cat>
            <c:strRef>
              <c:f>Dashboard!$H$29:$H$30</c:f>
            </c:strRef>
          </c:cat>
          <c:val>
            <c:numRef>
              <c:f>Dashboard!$I$29:$I$30</c:f>
              <c:numCache>
                <c:formatCode>$#,##0.00</c:formatCode>
              </c:numCache>
            </c:numRef>
          </c:val>
          <c:dLbls>
            <c:spPr>
              <a:noFill/>
              <a:ln>
                <a:noFill/>
              </a:ln>
            </c:spPr>
            <c:dLblPos val="outEnd"/>
            <c:showLeaderLines val="1"/>
            <c:showBubbleSize val="0"/>
            <c:showLegendKey val="0"/>
            <c:showPercent val="1"/>
            <c:showCatName val="0"/>
            <c:showSerName val="0"/>
            <c:showVal val="0"/>
            <c:separator>, </c:separator>
            <c:extLst>
              <c:ext xmlns:c15="http://schemas.microsoft.com/office/drawing/2012/chart" uri="{CE6537A1-D6FC-4f65-9D91-7224C49458BB}">
                <c15:showLeaderLines val="1"/>
              </c:ext>
            </c:extLst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</c:spPr>
            </c:leaderLines>
          </c:dLbls>
          <c:extLst/>
          <c:explosion val="0"/>
        </c:ser>
        <c:varyColors val="1"/>
        <c:firstSliceAng val="0"/>
      </c:pieChart>
      <c:spPr>
        <a:noFill/>
        <a:ln>
          <a:noFill/>
        </a:ln>
      </c:spPr>
    </c:plotArea>
    <c:legend>
      <c:legendPos val="r"/>
      <c:overlay val="0"/>
      <c:spPr>
        <a:noFill/>
        <a:ln>
          <a:noFill/>
        </a:ln>
      </c:spPr>
      <c:txPr>
        <a:bodyPr/>
        <a:p>
          <a:pPr>
            <a:defRPr sz="750" b="0">
              <a:solidFill>
                <a:schemeClr val="tx1">
                  <a:lumMod val="65000"/>
                  <a:lumOff val="35000"/>
                </a:schemeClr>
              </a:solidFill>
              <a:latin typeface="Arial"/>
            </a:defRPr>
          </a:pPr>
          <a:r>
            <a:rPr sz="750" b="0">
              <a:solidFill>
                <a:schemeClr val="tx1">
                  <a:lumMod val="65000"/>
                  <a:lumOff val="35000"/>
                </a:schemeClr>
              </a:solidFill>
              <a:latin typeface="Arial"/>
            </a:rPr>
            <a:t/>
          </a:r>
          <a:endParaRPr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0"/>
        </c16r3:dataDisplayOptions16>
      </c:ext>
    </c:extLst>
  </c:chart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4"/>
    </mc:Fallback>
  </mc:AlternateContent>
  <c:spPr>
    <a:solidFill>
      <a:schemeClr val="bg1"/>
    </a:solidFill>
    <a:ln w="9525">
      <a:solidFill>
        <a:schemeClr val="tx1">
          <a:lumMod val="15000"/>
          <a:lumOff val="85000"/>
        </a:schemeClr>
      </a:solidFill>
    </a:ln>
  </c:spPr>
  <c:txPr>
    <a:bodyPr/>
    <a:p>
      <a:pPr>
        <a:defRPr b="0">
          <a:solidFill>
            <a:schemeClr val="tx1">
              <a:lumMod val="65000"/>
              <a:lumOff val="35000"/>
            </a:schemeClr>
          </a:solidFill>
          <a:latin typeface="+mn-lt"/>
        </a:defRPr>
      </a:pPr>
      <a:r>
        <a:rPr b="0">
          <a:solidFill>
            <a:schemeClr val="tx1">
              <a:lumMod val="65000"/>
              <a:lumOff val="35000"/>
            </a:schemeClr>
          </a:solidFill>
          <a:latin typeface="+mn-lt"/>
        </a:rPr>
        <a:t/>
      </a:r>
      <a:endParaRPr/>
    </a:p>
  </c:txPr>
</c:chartSpace>
</file>

<file path=xl/charts/colors1.xml><?xml version="1.0" encoding="utf-8"?>
<cs:colorStyle xmlns:a="http://schemas.openxmlformats.org/drawingml/2006/main" xmlns:cs="http://schemas.microsoft.com/office/drawing/2012/chartStyle" meth="cycle" id="10">
  <a:schemeClr val="accent1"/>
  <a:schemeClr val="accent2"/>
  <a:schemeClr val="accent3"/>
  <a:schemeClr val="accent4"/>
  <a:schemeClr val="accent5"/>
  <a:schemeClr val="accent6"/>
  <a:schemeClr val="accent1">
    <a:lumMod val="60000"/>
  </a:schemeClr>
  <a:schemeClr val="accent2">
    <a:lumMod val="60000"/>
  </a:schemeClr>
  <a:schemeClr val="accent3">
    <a:lumMod val="60000"/>
  </a:schemeClr>
  <a:schemeClr val="accent4">
    <a:lumMod val="60000"/>
  </a:schemeClr>
  <a:schemeClr val="accent5">
    <a:lumMod val="60000"/>
  </a:schemeClr>
  <a:schemeClr val="accent6">
    <a:lumMod val="60000"/>
  </a:schemeClr>
  <a:schemeClr val="accent1">
    <a:lumMod val="80000"/>
    <a:lumOff val="20000"/>
  </a:schemeClr>
  <a:schemeClr val="accent2">
    <a:lumMod val="80000"/>
    <a:lumOff val="20000"/>
  </a:schemeClr>
  <a:schemeClr val="accent3">
    <a:lumMod val="80000"/>
    <a:lumOff val="20000"/>
  </a:schemeClr>
  <a:schemeClr val="accent4">
    <a:lumMod val="80000"/>
    <a:lumOff val="20000"/>
  </a:schemeClr>
  <a:schemeClr val="accent5">
    <a:lumMod val="80000"/>
    <a:lumOff val="20000"/>
  </a:schemeClr>
  <a:schemeClr val="accent6">
    <a:lumMod val="80000"/>
    <a:lumOff val="20000"/>
  </a:schemeClr>
  <a:schemeClr val="accent1">
    <a:lumMod val="80000"/>
  </a:schemeClr>
  <a:schemeClr val="accent2">
    <a:lumMod val="80000"/>
  </a:schemeClr>
  <a:schemeClr val="accent3">
    <a:lumMod val="80000"/>
  </a:schemeClr>
  <a:schemeClr val="accent4">
    <a:lumMod val="80000"/>
  </a:schemeClr>
  <a:schemeClr val="accent5">
    <a:lumMod val="80000"/>
  </a:schemeClr>
  <a:schemeClr val="accent6">
    <a:lumMod val="80000"/>
  </a:schemeClr>
  <a:schemeClr val="accent1">
    <a:lumMod val="60000"/>
    <a:lumOff val="40000"/>
  </a:schemeClr>
  <a:schemeClr val="accent2">
    <a:lumMod val="60000"/>
    <a:lumOff val="40000"/>
  </a:schemeClr>
  <a:schemeClr val="accent3">
    <a:lumMod val="60000"/>
    <a:lumOff val="40000"/>
  </a:schemeClr>
  <a:schemeClr val="accent4">
    <a:lumMod val="60000"/>
    <a:lumOff val="40000"/>
  </a:schemeClr>
  <a:schemeClr val="accent5">
    <a:lumMod val="60000"/>
    <a:lumOff val="40000"/>
  </a:schemeClr>
  <a:schemeClr val="accent6">
    <a:lumMod val="60000"/>
    <a:lumOff val="40000"/>
  </a:schemeClr>
  <a:schemeClr val="accent1">
    <a:lumMod val="50000"/>
  </a:schemeClr>
  <a:schemeClr val="accent2">
    <a:lumMod val="50000"/>
  </a:schemeClr>
  <a:schemeClr val="accent3">
    <a:lumMod val="50000"/>
  </a:schemeClr>
  <a:schemeClr val="accent4">
    <a:lumMod val="50000"/>
  </a:schemeClr>
  <a:schemeClr val="accent5">
    <a:lumMod val="50000"/>
  </a:schemeClr>
  <a:schemeClr val="accent6">
    <a:lumMod val="50000"/>
  </a:schemeClr>
  <a:schemeClr val="accent1">
    <a:lumMod val="70000"/>
    <a:lumOff val="30000"/>
  </a:schemeClr>
  <a:schemeClr val="accent2">
    <a:lumMod val="70000"/>
    <a:lumOff val="30000"/>
  </a:schemeClr>
  <a:schemeClr val="accent3">
    <a:lumMod val="70000"/>
    <a:lumOff val="30000"/>
  </a:schemeClr>
  <a:schemeClr val="accent4">
    <a:lumMod val="70000"/>
    <a:lumOff val="30000"/>
  </a:schemeClr>
  <a:schemeClr val="accent5">
    <a:lumMod val="70000"/>
    <a:lumOff val="30000"/>
  </a:schemeClr>
  <a:schemeClr val="accent6">
    <a:lumMod val="70000"/>
    <a:lumOff val="30000"/>
  </a:schemeClr>
  <a:schemeClr val="accent1">
    <a:lumMod val="70000"/>
  </a:schemeClr>
  <a:schemeClr val="accent2">
    <a:lumMod val="70000"/>
  </a:schemeClr>
  <a:schemeClr val="accent3">
    <a:lumMod val="70000"/>
  </a:schemeClr>
  <a:schemeClr val="accent4">
    <a:lumMod val="70000"/>
  </a:schemeClr>
  <a:schemeClr val="accent5">
    <a:lumMod val="70000"/>
  </a:schemeClr>
  <a:schemeClr val="accent6">
    <a:lumMod val="70000"/>
  </a:schemeClr>
  <a:schemeClr val="accent1">
    <a:lumMod val="50000"/>
    <a:lumOff val="50000"/>
  </a:schemeClr>
  <a:schemeClr val="accent2">
    <a:lumMod val="50000"/>
    <a:lumOff val="50000"/>
  </a:schemeClr>
  <a:schemeClr val="accent3">
    <a:lumMod val="50000"/>
    <a:lumOff val="50000"/>
  </a:schemeClr>
  <a:schemeClr val="accent4">
    <a:lumMod val="50000"/>
    <a:lumOff val="50000"/>
  </a:schemeClr>
  <a:schemeClr val="accent5">
    <a:lumMod val="50000"/>
    <a:lumOff val="50000"/>
  </a:schemeClr>
  <a:schemeClr val="accent6">
    <a:lumMod val="50000"/>
    <a:lumOff val="50000"/>
  </a:schemeClr>
</cs:colorStyle>
</file>

<file path=xl/charts/colors2.xml><?xml version="1.0" encoding="utf-8"?>
<cs:colorStyle xmlns:a="http://schemas.openxmlformats.org/drawingml/2006/main" xmlns:cs="http://schemas.microsoft.com/office/drawing/2012/chartStyle" meth="cycle" id="10">
  <a:schemeClr val="accent1"/>
  <a:schemeClr val="accent2"/>
  <a:schemeClr val="accent3"/>
  <a:schemeClr val="accent4"/>
  <a:schemeClr val="accent5"/>
  <a:schemeClr val="accent6"/>
  <a:schemeClr val="accent1">
    <a:lumMod val="60000"/>
  </a:schemeClr>
  <a:schemeClr val="accent2">
    <a:lumMod val="60000"/>
  </a:schemeClr>
  <a:schemeClr val="accent3">
    <a:lumMod val="60000"/>
  </a:schemeClr>
  <a:schemeClr val="accent4">
    <a:lumMod val="60000"/>
  </a:schemeClr>
  <a:schemeClr val="accent5">
    <a:lumMod val="60000"/>
  </a:schemeClr>
  <a:schemeClr val="accent6">
    <a:lumMod val="60000"/>
  </a:schemeClr>
  <a:schemeClr val="accent1">
    <a:lumMod val="80000"/>
    <a:lumOff val="20000"/>
  </a:schemeClr>
  <a:schemeClr val="accent2">
    <a:lumMod val="80000"/>
    <a:lumOff val="20000"/>
  </a:schemeClr>
  <a:schemeClr val="accent3">
    <a:lumMod val="80000"/>
    <a:lumOff val="20000"/>
  </a:schemeClr>
  <a:schemeClr val="accent4">
    <a:lumMod val="80000"/>
    <a:lumOff val="20000"/>
  </a:schemeClr>
  <a:schemeClr val="accent5">
    <a:lumMod val="80000"/>
    <a:lumOff val="20000"/>
  </a:schemeClr>
  <a:schemeClr val="accent6">
    <a:lumMod val="80000"/>
    <a:lumOff val="20000"/>
  </a:schemeClr>
  <a:schemeClr val="accent1">
    <a:lumMod val="80000"/>
  </a:schemeClr>
  <a:schemeClr val="accent2">
    <a:lumMod val="80000"/>
  </a:schemeClr>
  <a:schemeClr val="accent3">
    <a:lumMod val="80000"/>
  </a:schemeClr>
  <a:schemeClr val="accent4">
    <a:lumMod val="80000"/>
  </a:schemeClr>
  <a:schemeClr val="accent5">
    <a:lumMod val="80000"/>
  </a:schemeClr>
  <a:schemeClr val="accent6">
    <a:lumMod val="80000"/>
  </a:schemeClr>
  <a:schemeClr val="accent1">
    <a:lumMod val="60000"/>
    <a:lumOff val="40000"/>
  </a:schemeClr>
  <a:schemeClr val="accent2">
    <a:lumMod val="60000"/>
    <a:lumOff val="40000"/>
  </a:schemeClr>
  <a:schemeClr val="accent3">
    <a:lumMod val="60000"/>
    <a:lumOff val="40000"/>
  </a:schemeClr>
  <a:schemeClr val="accent4">
    <a:lumMod val="60000"/>
    <a:lumOff val="40000"/>
  </a:schemeClr>
  <a:schemeClr val="accent5">
    <a:lumMod val="60000"/>
    <a:lumOff val="40000"/>
  </a:schemeClr>
  <a:schemeClr val="accent6">
    <a:lumMod val="60000"/>
    <a:lumOff val="40000"/>
  </a:schemeClr>
  <a:schemeClr val="accent1">
    <a:lumMod val="50000"/>
  </a:schemeClr>
  <a:schemeClr val="accent2">
    <a:lumMod val="50000"/>
  </a:schemeClr>
  <a:schemeClr val="accent3">
    <a:lumMod val="50000"/>
  </a:schemeClr>
  <a:schemeClr val="accent4">
    <a:lumMod val="50000"/>
  </a:schemeClr>
  <a:schemeClr val="accent5">
    <a:lumMod val="50000"/>
  </a:schemeClr>
  <a:schemeClr val="accent6">
    <a:lumMod val="50000"/>
  </a:schemeClr>
  <a:schemeClr val="accent1">
    <a:lumMod val="70000"/>
    <a:lumOff val="30000"/>
  </a:schemeClr>
  <a:schemeClr val="accent2">
    <a:lumMod val="70000"/>
    <a:lumOff val="30000"/>
  </a:schemeClr>
  <a:schemeClr val="accent3">
    <a:lumMod val="70000"/>
    <a:lumOff val="30000"/>
  </a:schemeClr>
  <a:schemeClr val="accent4">
    <a:lumMod val="70000"/>
    <a:lumOff val="30000"/>
  </a:schemeClr>
  <a:schemeClr val="accent5">
    <a:lumMod val="70000"/>
    <a:lumOff val="30000"/>
  </a:schemeClr>
  <a:schemeClr val="accent6">
    <a:lumMod val="70000"/>
    <a:lumOff val="30000"/>
  </a:schemeClr>
  <a:schemeClr val="accent1">
    <a:lumMod val="70000"/>
  </a:schemeClr>
  <a:schemeClr val="accent2">
    <a:lumMod val="70000"/>
  </a:schemeClr>
  <a:schemeClr val="accent3">
    <a:lumMod val="70000"/>
  </a:schemeClr>
  <a:schemeClr val="accent4">
    <a:lumMod val="70000"/>
  </a:schemeClr>
  <a:schemeClr val="accent5">
    <a:lumMod val="70000"/>
  </a:schemeClr>
  <a:schemeClr val="accent6">
    <a:lumMod val="70000"/>
  </a:schemeClr>
  <a:schemeClr val="accent1">
    <a:lumMod val="50000"/>
    <a:lumOff val="50000"/>
  </a:schemeClr>
  <a:schemeClr val="accent2">
    <a:lumMod val="50000"/>
    <a:lumOff val="50000"/>
  </a:schemeClr>
  <a:schemeClr val="accent3">
    <a:lumMod val="50000"/>
    <a:lumOff val="50000"/>
  </a:schemeClr>
  <a:schemeClr val="accent4">
    <a:lumMod val="50000"/>
    <a:lumOff val="50000"/>
  </a:schemeClr>
  <a:schemeClr val="accent5">
    <a:lumMod val="50000"/>
    <a:lumOff val="50000"/>
  </a:schemeClr>
  <a:schemeClr val="accent6">
    <a:lumMod val="50000"/>
    <a:lumOff val="50000"/>
  </a:schemeClr>
</cs:colorStyle>
</file>

<file path=xl/charts/colors3.xml><?xml version="1.0" encoding="utf-8"?>
<cs:colorStyle xmlns:a="http://schemas.openxmlformats.org/drawingml/2006/main" xmlns:cs="http://schemas.microsoft.com/office/drawing/2012/chartStyle" meth="cycle" id="10">
  <a:schemeClr val="accent1"/>
  <a:schemeClr val="accent2"/>
  <a:schemeClr val="accent3"/>
  <a:schemeClr val="accent4"/>
  <a:schemeClr val="accent5"/>
  <a:schemeClr val="accent6"/>
  <a:schemeClr val="accent1">
    <a:lumMod val="60000"/>
  </a:schemeClr>
  <a:schemeClr val="accent2">
    <a:lumMod val="60000"/>
  </a:schemeClr>
  <a:schemeClr val="accent3">
    <a:lumMod val="60000"/>
  </a:schemeClr>
  <a:schemeClr val="accent4">
    <a:lumMod val="60000"/>
  </a:schemeClr>
  <a:schemeClr val="accent5">
    <a:lumMod val="60000"/>
  </a:schemeClr>
  <a:schemeClr val="accent6">
    <a:lumMod val="60000"/>
  </a:schemeClr>
  <a:schemeClr val="accent1">
    <a:lumMod val="80000"/>
    <a:lumOff val="20000"/>
  </a:schemeClr>
  <a:schemeClr val="accent2">
    <a:lumMod val="80000"/>
    <a:lumOff val="20000"/>
  </a:schemeClr>
  <a:schemeClr val="accent3">
    <a:lumMod val="80000"/>
    <a:lumOff val="20000"/>
  </a:schemeClr>
  <a:schemeClr val="accent4">
    <a:lumMod val="80000"/>
    <a:lumOff val="20000"/>
  </a:schemeClr>
  <a:schemeClr val="accent5">
    <a:lumMod val="80000"/>
    <a:lumOff val="20000"/>
  </a:schemeClr>
  <a:schemeClr val="accent6">
    <a:lumMod val="80000"/>
    <a:lumOff val="20000"/>
  </a:schemeClr>
  <a:schemeClr val="accent1">
    <a:lumMod val="80000"/>
  </a:schemeClr>
  <a:schemeClr val="accent2">
    <a:lumMod val="80000"/>
  </a:schemeClr>
  <a:schemeClr val="accent3">
    <a:lumMod val="80000"/>
  </a:schemeClr>
  <a:schemeClr val="accent4">
    <a:lumMod val="80000"/>
  </a:schemeClr>
  <a:schemeClr val="accent5">
    <a:lumMod val="80000"/>
  </a:schemeClr>
  <a:schemeClr val="accent6">
    <a:lumMod val="80000"/>
  </a:schemeClr>
  <a:schemeClr val="accent1">
    <a:lumMod val="60000"/>
    <a:lumOff val="40000"/>
  </a:schemeClr>
  <a:schemeClr val="accent2">
    <a:lumMod val="60000"/>
    <a:lumOff val="40000"/>
  </a:schemeClr>
  <a:schemeClr val="accent3">
    <a:lumMod val="60000"/>
    <a:lumOff val="40000"/>
  </a:schemeClr>
  <a:schemeClr val="accent4">
    <a:lumMod val="60000"/>
    <a:lumOff val="40000"/>
  </a:schemeClr>
  <a:schemeClr val="accent5">
    <a:lumMod val="60000"/>
    <a:lumOff val="40000"/>
  </a:schemeClr>
  <a:schemeClr val="accent6">
    <a:lumMod val="60000"/>
    <a:lumOff val="40000"/>
  </a:schemeClr>
  <a:schemeClr val="accent1">
    <a:lumMod val="50000"/>
  </a:schemeClr>
  <a:schemeClr val="accent2">
    <a:lumMod val="50000"/>
  </a:schemeClr>
  <a:schemeClr val="accent3">
    <a:lumMod val="50000"/>
  </a:schemeClr>
  <a:schemeClr val="accent4">
    <a:lumMod val="50000"/>
  </a:schemeClr>
  <a:schemeClr val="accent5">
    <a:lumMod val="50000"/>
  </a:schemeClr>
  <a:schemeClr val="accent6">
    <a:lumMod val="50000"/>
  </a:schemeClr>
  <a:schemeClr val="accent1">
    <a:lumMod val="70000"/>
    <a:lumOff val="30000"/>
  </a:schemeClr>
  <a:schemeClr val="accent2">
    <a:lumMod val="70000"/>
    <a:lumOff val="30000"/>
  </a:schemeClr>
  <a:schemeClr val="accent3">
    <a:lumMod val="70000"/>
    <a:lumOff val="30000"/>
  </a:schemeClr>
  <a:schemeClr val="accent4">
    <a:lumMod val="70000"/>
    <a:lumOff val="30000"/>
  </a:schemeClr>
  <a:schemeClr val="accent5">
    <a:lumMod val="70000"/>
    <a:lumOff val="30000"/>
  </a:schemeClr>
  <a:schemeClr val="accent6">
    <a:lumMod val="70000"/>
    <a:lumOff val="30000"/>
  </a:schemeClr>
  <a:schemeClr val="accent1">
    <a:lumMod val="70000"/>
  </a:schemeClr>
  <a:schemeClr val="accent2">
    <a:lumMod val="70000"/>
  </a:schemeClr>
  <a:schemeClr val="accent3">
    <a:lumMod val="70000"/>
  </a:schemeClr>
  <a:schemeClr val="accent4">
    <a:lumMod val="70000"/>
  </a:schemeClr>
  <a:schemeClr val="accent5">
    <a:lumMod val="70000"/>
  </a:schemeClr>
  <a:schemeClr val="accent6">
    <a:lumMod val="70000"/>
  </a:schemeClr>
  <a:schemeClr val="accent1">
    <a:lumMod val="50000"/>
    <a:lumOff val="50000"/>
  </a:schemeClr>
  <a:schemeClr val="accent2">
    <a:lumMod val="50000"/>
    <a:lumOff val="50000"/>
  </a:schemeClr>
  <a:schemeClr val="accent3">
    <a:lumMod val="50000"/>
    <a:lumOff val="50000"/>
  </a:schemeClr>
  <a:schemeClr val="accent4">
    <a:lumMod val="50000"/>
    <a:lumOff val="50000"/>
  </a:schemeClr>
  <a:schemeClr val="accent5">
    <a:lumMod val="50000"/>
    <a:lumOff val="50000"/>
  </a:schemeClr>
  <a:schemeClr val="accent6">
    <a:lumMod val="50000"/>
    <a:lumOff val="50000"/>
  </a:schemeClr>
</cs:colorStyle>
</file>

<file path=xl/charts/style1.xml><?xml version="1.0" encoding="utf-8"?>
<cs:chartStyle xmlns:cs="http://schemas.microsoft.com/office/drawing/2012/chartStyle" xmlns:a="http://schemas.openxmlformats.org/drawingml/2006/main" id="38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8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8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95250</xdr:rowOff>
    </xdr:from>
    <xdr:to>
      <xdr:col>4</xdr:col>
      <xdr:colOff>0</xdr:colOff>
      <xdr:row>32</xdr:row>
      <xdr:rowOff>171450</xdr:rowOff>
    </xdr:to>
    <xdr:graphicFrame>
      <xdr:nvGraphicFramePr>
        <xdr:cNvPr id="2" name="BalanceOverviewChart"/>
        <xdr:cNvGraphicFramePr>
          <a:graphicFrameLocks noChangeAspect="0"/>
        </xdr:cNvGraphicFramePr>
      </xdr:nvGraphicFramePr>
      <xdr:xfrm>
        <a:off x="0" y="36195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190500</xdr:colOff>
      <xdr:row>26</xdr:row>
      <xdr:rowOff>95250</xdr:rowOff>
    </xdr:from>
    <xdr:to>
      <xdr:col>9</xdr:col>
      <xdr:colOff>533400</xdr:colOff>
      <xdr:row>40</xdr:row>
      <xdr:rowOff>171450</xdr:rowOff>
    </xdr:to>
    <xdr:graphicFrame>
      <xdr:nvGraphicFramePr>
        <xdr:cNvPr id="3" name="DebtPayoffChart"/>
        <xdr:cNvGraphicFramePr>
          <a:graphicFrameLocks noChangeAspect="0"/>
        </xdr:cNvGraphicFramePr>
      </xdr:nvGraphicFramePr>
      <xdr:xfrm>
        <a:off x="4762500" y="51435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33</xdr:row>
      <xdr:rowOff>95250</xdr:rowOff>
    </xdr:from>
    <xdr:to>
      <xdr:col>4</xdr:col>
      <xdr:colOff>0</xdr:colOff>
      <xdr:row>47</xdr:row>
      <xdr:rowOff>171450</xdr:rowOff>
    </xdr:to>
    <xdr:graphicFrame>
      <xdr:nvGraphicFramePr>
        <xdr:cNvPr id="4" name="PaymentBreakdownChart"/>
        <xdr:cNvGraphicFramePr>
          <a:graphicFrameLocks noChangeAspect="0"/>
        </xdr:cNvGraphicFramePr>
      </xdr:nvGraphicFramePr>
      <xdr:xfrm>
        <a:off x="0" y="64770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9E118C8-AAB8-2058-0678-23144EBC9428}" mc:Ignorable="x14ac xr xr2 xr3">
  <dimension ref="A1:GR1000"/>
  <sheetViews>
    <sheetView topLeftCell="A1" workbookViewId="0">
      <selection activeCell="A1" sqref="A1:F1"/>
    </sheetView>
  </sheetViews>
  <sheetFormatPr defaultRowHeight="15" defaultColWidth="8.8515625" customHeight="1"/>
  <cols>
    <col min="1" max="1" width="17.140625" customWidth="1"/>
    <col min="2" max="2" width="18.57421875" customWidth="1"/>
    <col min="3" max="3" width="14.28125" customWidth="1"/>
    <col min="4" max="4" width="18.57421875" customWidth="1"/>
    <col min="5" max="5" width="12.8515625" customWidth="1"/>
    <col min="6" max="6" width="18.57421875" customWidth="1"/>
    <col min="7" max="7" width="14.28125" customWidth="1"/>
  </cols>
  <sheetData>
    <row r="1" ht="21" customHeight="1">
      <c r="A1" s="1" t="s">
        <v>0</v>
      </c>
    </row>
    <row r="2" ht="15" customHeight="1">
      <c r="A2" s="2" t="s">
        <v>1</v>
      </c>
    </row>
    <row r="5" ht="15.75" customHeight="1">
      <c r="A5" s="3" t="s">
        <v>2</v>
      </c>
    </row>
    <row r="6" ht="15" customHeight="1">
      <c r="B6" s="4" t="s">
        <v>3</v>
      </c>
      <c r="D6" s="4" t="s">
        <v>4</v>
      </c>
      <c r="F6" s="4" t="s">
        <v>5</v>
      </c>
    </row>
    <row r="7" ht="15" customHeight="1">
      <c r="B7" s="5">
        <f>SUM(Cards!C2:C5)</f>
        <v>15000</v>
      </c>
      <c r="D7" s="5">
        <f>SUM(Cards!D2:D5)</f>
        <v>13250</v>
      </c>
      <c r="F7" s="5">
        <f>B7-D7</f>
        <v>1750</v>
      </c>
    </row>
    <row r="8" ht="15" customHeight="1">
      <c r="B8" s="4" t="s">
        <v>6</v>
      </c>
      <c r="C8" s="6" t="s">
        <v>7</v>
      </c>
      <c r="D8" s="4" t="s">
        <v>8</v>
      </c>
      <c r="F8" s="4" t="s">
        <v>9</v>
      </c>
    </row>
    <row r="9" ht="15" customHeight="1">
      <c r="D9" s="5">
        <f>SUM(Cards!G2:G5)</f>
        <v>330</v>
      </c>
      <c r="F9" s="6">
        <v>100</v>
      </c>
    </row>
    <row r="10" ht="15" customHeight="1">
      <c r="B10" s="4" t="s">
        <v>10</v>
      </c>
      <c r="D10" s="4" t="s">
        <v>11</v>
      </c>
      <c r="F10" s="4" t="s">
        <v>12</v>
      </c>
    </row>
    <row r="11" ht="15" customHeight="1">
      <c r="B11" s="5">
        <f>MAX(Cards!P2:P5)</f>
        <v>92.4628907213674</v>
      </c>
      <c r="D11" s="7">
        <f>EDATE(TODAY(),CEILING(B11,1))</f>
        <v>48845</v>
      </c>
      <c r="F11" s="5">
        <f>D9+F9</f>
        <v>430</v>
      </c>
    </row>
    <row r="13" ht="15.75" customHeight="1">
      <c r="A13" s="3" t="s">
        <v>13</v>
      </c>
    </row>
    <row r="14" ht="15" customHeight="1">
      <c r="A14" s="8" t="s">
        <v>14</v>
      </c>
      <c r="B14" s="8" t="s">
        <v>15</v>
      </c>
      <c r="C14" s="8" t="s">
        <v>16</v>
      </c>
      <c r="D14" s="8" t="s">
        <v>17</v>
      </c>
      <c r="E14" s="8" t="s">
        <v>18</v>
      </c>
      <c r="F14" s="8" t="s">
        <v>19</v>
      </c>
      <c r="G14" s="8" t="s">
        <v>20</v>
      </c>
    </row>
    <row r="15" ht="15" customHeight="1">
      <c r="A15" t="str">
        <f>Cards!B2</f>
        <v>Chase Freedom</v>
      </c>
      <c r="B15" s="9">
        <f>Cards!D2</f>
        <v>2350</v>
      </c>
      <c r="C15" s="10">
        <f>Cards!E2</f>
        <v>0.1999</v>
      </c>
      <c r="D15" s="9">
        <f>Cards!G2</f>
        <v>50</v>
      </c>
      <c r="E15">
        <f>Cards!J2</f>
        <v>2</v>
      </c>
      <c r="F15" s="11">
        <f>Cards!P2</f>
        <v>92.4628907213674</v>
      </c>
      <c r="G15" t="str">
        <f>Cards!K2</f>
        <v>Active</v>
      </c>
    </row>
    <row r="16" ht="15" customHeight="1">
      <c r="A16" t="str">
        <f>Cards!B3</f>
        <v>Capital One Quicksilver</v>
      </c>
      <c r="B16" s="9">
        <f>Cards!D3</f>
        <v>3800</v>
      </c>
      <c r="C16" s="10">
        <f>Cards!E3</f>
        <v>0.2449</v>
      </c>
      <c r="D16" s="9">
        <f>Cards!G3</f>
        <v>95</v>
      </c>
      <c r="E16">
        <f>Cards!J3</f>
        <v>3</v>
      </c>
      <c r="F16" s="11">
        <f>Cards!P3</f>
        <v>83.8807765580766</v>
      </c>
      <c r="G16" t="str">
        <f>Cards!K3</f>
        <v>Active</v>
      </c>
    </row>
    <row r="17" ht="15" customHeight="1">
      <c r="A17" t="str">
        <f>Cards!B4</f>
        <v>Discover It</v>
      </c>
      <c r="B17" s="9">
        <f>Cards!D4</f>
        <v>1200</v>
      </c>
      <c r="C17" s="10">
        <f>Cards!E4</f>
        <v>0.1724</v>
      </c>
      <c r="D17" s="9">
        <f>Cards!G4</f>
        <v>35</v>
      </c>
      <c r="E17">
        <f>Cards!J4</f>
        <v>1</v>
      </c>
      <c r="F17" s="11">
        <f>Cards!P4</f>
        <v>47.558763823786</v>
      </c>
      <c r="G17" t="str">
        <f>Cards!K4</f>
        <v>Active</v>
      </c>
    </row>
    <row r="18" ht="15" customHeight="1">
      <c r="A18" t="str">
        <f>Cards!B5</f>
        <v>Citi Double Cash</v>
      </c>
      <c r="B18" s="9">
        <f>Cards!D5</f>
        <v>5900</v>
      </c>
      <c r="C18" s="10">
        <f>Cards!E5</f>
        <v>0.2174</v>
      </c>
      <c r="D18" s="9">
        <f>Cards!G5</f>
        <v>150</v>
      </c>
      <c r="E18">
        <f>Cards!J5</f>
        <v>4</v>
      </c>
      <c r="F18" s="11">
        <f>Cards!P5</f>
        <v>69.4444612002235</v>
      </c>
      <c r="G18" t="str">
        <f>Cards!K5</f>
        <v>Active</v>
      </c>
    </row>
    <row r="20" ht="15" customHeight="1">
      <c r="H20" s="12" t="s">
        <v>26</v>
      </c>
      <c r="I20" s="12" t="s">
        <v>27</v>
      </c>
      <c r="J20" s="12" t="s">
        <v>28</v>
      </c>
      <c r="K20" s="12" t="s">
        <v>29</v>
      </c>
      <c r="L20" s="12" t="s">
        <v>30</v>
      </c>
      <c r="M20" s="12" t="s">
        <v>31</v>
      </c>
    </row>
    <row r="21" ht="15" customHeight="1">
      <c r="I21" s="13">
        <f>Cards!D2</f>
        <v>2350</v>
      </c>
      <c r="J21" s="13">
        <f>Cards!D3</f>
        <v>3800</v>
      </c>
      <c r="K21" s="13">
        <f>Cards!D4</f>
        <v>1200</v>
      </c>
      <c r="L21" s="13">
        <f>Cards!D5</f>
        <v>5900</v>
      </c>
      <c r="M21" s="13">
        <f t="shared" si="0" ref="M21:M26">SUM(I21:L21)</f>
        <v>13250</v>
      </c>
    </row>
    <row r="22" ht="15" customHeight="1">
      <c r="H22">
        <v>12</v>
      </c>
      <c r="I22" s="13">
        <f>MAX(0,Cards!D2-12*Cards!D2/Cards!P2)</f>
        <v>2045.01277993807</v>
      </c>
      <c r="J22" s="13">
        <f>MAX(0,Cards!D3-12*Cards!D3/Cards!P3)</f>
        <v>3256.37127037769</v>
      </c>
      <c r="K22" s="13">
        <f>MAX(0,Cards!D4-12*Cards!D4/Cards!P4)</f>
        <v>897.216688529697</v>
      </c>
      <c r="L22" s="13">
        <f>MAX(0,Cards!D5-12*Cards!D5/Cards!P5)</f>
        <v>4880.48024599301</v>
      </c>
      <c r="M22" s="13">
        <f t="shared" si="0"/>
        <v>11079.0809848385</v>
      </c>
    </row>
    <row r="23" ht="15" customHeight="1">
      <c r="H23">
        <v>24</v>
      </c>
      <c r="I23" s="13">
        <f>MAX(0,Cards!D2-24*Cards!D2/Cards!P2)</f>
        <v>1740.02555987614</v>
      </c>
      <c r="J23" s="13">
        <f>MAX(0,Cards!D3-24*Cards!D3/Cards!P3)</f>
        <v>2712.74254075538</v>
      </c>
      <c r="K23" s="13">
        <f>MAX(0,Cards!D4-24*Cards!D4/Cards!P4)</f>
        <v>594.433377059393</v>
      </c>
      <c r="L23" s="13">
        <f>MAX(0,Cards!D5-24*Cards!D5/Cards!P5)</f>
        <v>3860.96049198601</v>
      </c>
      <c r="M23" s="13">
        <f t="shared" si="0"/>
        <v>8908.16196967692</v>
      </c>
    </row>
    <row r="24" ht="15" customHeight="1">
      <c r="H24">
        <v>36</v>
      </c>
      <c r="I24" s="13">
        <f>MAX(0,Cards!D2-36*Cards!D2/Cards!P2)</f>
        <v>1435.03833981421</v>
      </c>
      <c r="J24" s="13">
        <f>MAX(0,Cards!D3-36*Cards!D3/Cards!P3)</f>
        <v>2169.11381113307</v>
      </c>
      <c r="K24" s="13">
        <f>MAX(0,Cards!D4-36*Cards!D4/Cards!P4)</f>
        <v>291.650065589089</v>
      </c>
      <c r="L24" s="13">
        <f>MAX(0,Cards!D5-36*Cards!D5/Cards!P5)</f>
        <v>2841.44073797902</v>
      </c>
      <c r="M24" s="13">
        <f t="shared" si="0"/>
        <v>6737.24295451539</v>
      </c>
    </row>
    <row r="25" ht="15" customHeight="1">
      <c r="H25">
        <v>48</v>
      </c>
      <c r="I25" s="13">
        <f>MAX(0,Cards!D2-48*Cards!D2/Cards!P2)</f>
        <v>1130.05111975227</v>
      </c>
      <c r="J25" s="13">
        <f>MAX(0,Cards!D3-48*Cards!D3/Cards!P3)</f>
        <v>1625.48508151076</v>
      </c>
      <c r="K25" s="13">
        <f>MAX(0,Cards!D4-48*Cards!D4/Cards!P4)</f>
        <v>0</v>
      </c>
      <c r="L25" s="13">
        <f>MAX(0,Cards!D5-48*Cards!D5/Cards!P5)</f>
        <v>1821.92098397203</v>
      </c>
      <c r="M25" s="13">
        <f t="shared" si="0"/>
        <v>4577.45718523506</v>
      </c>
    </row>
    <row r="26" ht="15" customHeight="1">
      <c r="H26">
        <v>60</v>
      </c>
      <c r="I26" s="13">
        <f>MAX(0,Cards!D2-60*Cards!D2/Cards!P2)</f>
        <v>825.063899690343</v>
      </c>
      <c r="J26" s="13">
        <f>MAX(0,Cards!D3-60*Cards!D3/Cards!P3)</f>
        <v>1081.85635188845</v>
      </c>
      <c r="K26" s="13">
        <f>MAX(0,Cards!D4-60*Cards!D4/Cards!P4)</f>
        <v>0</v>
      </c>
      <c r="L26" s="13">
        <f>MAX(0,Cards!D5-60*Cards!D5/Cards!P5)</f>
        <v>802.401229965038</v>
      </c>
      <c r="M26" s="13">
        <f t="shared" si="0"/>
        <v>2709.32148154383</v>
      </c>
    </row>
    <row r="28" ht="15" customHeight="1">
      <c r="H28" s="12" t="s">
        <v>32</v>
      </c>
      <c r="I28" s="12" t="s">
        <v>33</v>
      </c>
    </row>
    <row r="29" ht="15" customHeight="1">
      <c r="H29" t="s">
        <v>34</v>
      </c>
      <c r="I29" s="13">
        <f>SUM(Cards!C2:C5)-SUM(Cards!D2:D5)</f>
        <v>1750</v>
      </c>
    </row>
    <row r="30" ht="15" customHeight="1">
      <c r="H30" t="s">
        <v>35</v>
      </c>
      <c r="I30" s="13">
        <f>SUMPRODUCT(Cards!M2:M5,Cards!P2:P5)</f>
        <v>18367.4623169286</v>
      </c>
    </row>
    <row r="51" ht="15" customHeight="1">
      <c r="A51" s="14" t="s">
        <v>36</v>
      </c>
    </row>
    <row r="52" ht="15" customHeight="1">
      <c r="A52" s="15" t="s">
        <v>37</v>
      </c>
    </row>
    <row r="53" ht="13.5" customHeight="1">
      <c r="A53" s="16" t="s">
        <v>38</v>
      </c>
    </row>
  </sheetData>
  <mergeCells>
    <mergeCell ref="A1:F1"/>
    <mergeCell ref="A2:F2"/>
    <mergeCell ref="A5:F5"/>
    <mergeCell ref="A13:G13"/>
    <mergeCell ref="A51:G51"/>
    <mergeCell ref="A52:G52"/>
    <mergeCell ref="A53:G53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drawing r:id="rId1"/>
  <extLst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2EDDFED3-7048-B9A8-4B48-70363C6193BE}" mc:Ignorable="x14ac xr xr2 xr3">
  <dimension ref="A1:GR1000"/>
  <sheetViews>
    <sheetView topLeftCell="A1" workbookViewId="0" tabSelected="1">
      <selection activeCell="A1" sqref="A1"/>
    </sheetView>
  </sheetViews>
  <sheetFormatPr defaultRowHeight="15" defaultColWidth="8.8515625" customHeight="1"/>
  <cols>
    <col min="1" max="1" width="5.7109375" customWidth="1"/>
    <col min="2" max="2" width="25.7109375" customWidth="1"/>
    <col min="3" max="3" width="15.7109375" customWidth="1"/>
    <col min="4" max="4" width="17.140625" customWidth="1"/>
    <col min="5" max="5" width="11.421875" customWidth="1"/>
    <col min="6" max="6" width="14.28125" customWidth="1"/>
    <col min="7" max="8" width="15.7109375" customWidth="1"/>
    <col min="9" max="9" width="11.421875" customWidth="1"/>
    <col min="10" max="10" width="10.00390625" customWidth="1"/>
    <col min="11" max="11" width="11.421875" customWidth="1"/>
    <col min="12" max="12" width="21.421875" customWidth="1"/>
    <col min="13" max="14" width="17.140625" customWidth="1"/>
    <col min="15" max="15" width="15.7109375" customWidth="1"/>
    <col min="16" max="16" width="21.421875" customWidth="1"/>
  </cols>
  <sheetData>
    <row r="1" ht="15" customHeight="1">
      <c r="A1" s="17" t="s">
        <v>39</v>
      </c>
      <c r="B1" s="17" t="s">
        <v>14</v>
      </c>
      <c r="C1" s="17" t="s">
        <v>40</v>
      </c>
      <c r="D1" s="17" t="s">
        <v>41</v>
      </c>
      <c r="E1" s="17" t="s">
        <v>16</v>
      </c>
      <c r="F1" s="17" t="s">
        <v>42</v>
      </c>
      <c r="G1" s="17" t="s">
        <v>17</v>
      </c>
      <c r="H1" s="17" t="s">
        <v>9</v>
      </c>
      <c r="I1" s="17" t="s">
        <v>43</v>
      </c>
      <c r="J1" s="17" t="s">
        <v>18</v>
      </c>
      <c r="K1" s="17" t="s">
        <v>20</v>
      </c>
      <c r="L1" s="17" t="s">
        <v>44</v>
      </c>
      <c r="M1" s="17" t="s">
        <v>45</v>
      </c>
      <c r="N1" s="17" t="s">
        <v>46</v>
      </c>
      <c r="O1" s="17" t="s">
        <v>47</v>
      </c>
      <c r="P1" s="17" t="s">
        <v>48</v>
      </c>
    </row>
    <row r="2" ht="15" customHeight="1">
      <c r="A2" s="18">
        <v>1</v>
      </c>
      <c r="B2" s="19" t="s">
        <v>21</v>
      </c>
      <c r="C2" s="20">
        <v>2500</v>
      </c>
      <c r="D2" s="20">
        <v>2350</v>
      </c>
      <c r="E2" s="21">
        <v>0.1999</v>
      </c>
      <c r="F2" s="21">
        <f t="shared" si="0" ref="F2:F5">E2/12</f>
        <v>0.0166583333333333</v>
      </c>
      <c r="G2" s="20">
        <v>50</v>
      </c>
      <c r="H2" s="20">
        <v>0</v>
      </c>
      <c r="I2" s="18">
        <v>15</v>
      </c>
      <c r="J2" s="19">
        <f>IF(Dashboard!$C$8="Snowball",_xlfn.RANK.EQ(D2,$D$2:$D$5,1),_xlfn.RANK.EQ(E2,$E$2:$E$5,0))</f>
        <v>2</v>
      </c>
      <c r="K2" s="19" t="s">
        <v>22</v>
      </c>
      <c r="L2" s="19" t="s">
        <v>49</v>
      </c>
      <c r="M2" s="20">
        <f t="shared" si="1" ref="M2:M5">D2*E2/12</f>
        <v>39.1470833333333</v>
      </c>
      <c r="N2" s="20">
        <f t="shared" si="2" ref="N2:N5">MIN(D2+M2,G2+H2)</f>
        <v>50</v>
      </c>
      <c r="O2" s="20">
        <f t="shared" si="3" ref="O2:O5">ROUND(D2+M2-N2,2)</f>
        <v>2339.15</v>
      </c>
      <c r="P2" s="22">
        <f t="shared" si="4" ref="P2:P5">_xlfn.IFERROR(IF(N2&gt;M2,NPER(E2/12,-N2,D2),"Payment too low"),NA())</f>
        <v>92.4628907213674</v>
      </c>
    </row>
    <row r="3" ht="15" customHeight="1">
      <c r="A3" s="18">
        <v>2</v>
      </c>
      <c r="B3" s="19" t="s">
        <v>23</v>
      </c>
      <c r="C3" s="20">
        <v>4200</v>
      </c>
      <c r="D3" s="20">
        <v>3800</v>
      </c>
      <c r="E3" s="21">
        <v>0.2449</v>
      </c>
      <c r="F3" s="21">
        <f t="shared" si="0"/>
        <v>0.0204083333333333</v>
      </c>
      <c r="G3" s="20">
        <v>95</v>
      </c>
      <c r="H3" s="20">
        <v>0</v>
      </c>
      <c r="I3" s="18">
        <v>22</v>
      </c>
      <c r="J3" s="19">
        <f>IF(Dashboard!$C$8="Snowball",_xlfn.RANK.EQ(D3,$D$2:$D$5,1),_xlfn.RANK.EQ(E3,$E$2:$E$5,0))</f>
        <v>3</v>
      </c>
      <c r="K3" s="19" t="s">
        <v>22</v>
      </c>
      <c r="L3" s="19" t="s">
        <v>50</v>
      </c>
      <c r="M3" s="20">
        <f t="shared" si="1"/>
        <v>77.5516666666667</v>
      </c>
      <c r="N3" s="20">
        <f t="shared" si="2"/>
        <v>95</v>
      </c>
      <c r="O3" s="20">
        <f t="shared" si="3"/>
        <v>3782.55</v>
      </c>
      <c r="P3" s="22">
        <f t="shared" si="4"/>
        <v>83.8807765580766</v>
      </c>
    </row>
    <row r="4" ht="15" customHeight="1">
      <c r="A4" s="18">
        <v>3</v>
      </c>
      <c r="B4" s="19" t="s">
        <v>24</v>
      </c>
      <c r="C4" s="20">
        <v>1800</v>
      </c>
      <c r="D4" s="20">
        <v>1200</v>
      </c>
      <c r="E4" s="21">
        <v>0.1724</v>
      </c>
      <c r="F4" s="21">
        <f t="shared" si="0"/>
        <v>0.0143666666666667</v>
      </c>
      <c r="G4" s="20">
        <v>35</v>
      </c>
      <c r="H4" s="20">
        <v>0</v>
      </c>
      <c r="I4" s="18">
        <v>8</v>
      </c>
      <c r="J4" s="19">
        <f>IF(Dashboard!$C$8="Snowball",_xlfn.RANK.EQ(D4,$D$2:$D$5,1),_xlfn.RANK.EQ(E4,$E$2:$E$5,0))</f>
        <v>1</v>
      </c>
      <c r="K4" s="19" t="s">
        <v>22</v>
      </c>
      <c r="L4" s="19" t="s">
        <v>51</v>
      </c>
      <c r="M4" s="20">
        <f t="shared" si="1"/>
        <v>17.24</v>
      </c>
      <c r="N4" s="20">
        <f t="shared" si="2"/>
        <v>35</v>
      </c>
      <c r="O4" s="20">
        <f t="shared" si="3"/>
        <v>1182.24</v>
      </c>
      <c r="P4" s="22">
        <f t="shared" si="4"/>
        <v>47.558763823786</v>
      </c>
    </row>
    <row r="5" ht="15" customHeight="1">
      <c r="A5" s="18">
        <v>4</v>
      </c>
      <c r="B5" s="19" t="s">
        <v>25</v>
      </c>
      <c r="C5" s="20">
        <v>6500</v>
      </c>
      <c r="D5" s="20">
        <v>5900</v>
      </c>
      <c r="E5" s="21">
        <v>0.2174</v>
      </c>
      <c r="F5" s="21">
        <f t="shared" si="0"/>
        <v>0.0181166666666667</v>
      </c>
      <c r="G5" s="20">
        <v>150</v>
      </c>
      <c r="H5" s="20">
        <v>0</v>
      </c>
      <c r="I5" s="18">
        <v>1</v>
      </c>
      <c r="J5" s="19">
        <f>IF(Dashboard!$C$8="Snowball",_xlfn.RANK.EQ(D5,$D$2:$D$5,1),_xlfn.RANK.EQ(E5,$E$2:$E$5,0))</f>
        <v>4</v>
      </c>
      <c r="K5" s="19" t="s">
        <v>22</v>
      </c>
      <c r="L5" s="19" t="s">
        <v>52</v>
      </c>
      <c r="M5" s="20">
        <f t="shared" si="1"/>
        <v>106.888333333333</v>
      </c>
      <c r="N5" s="20">
        <f t="shared" si="2"/>
        <v>150</v>
      </c>
      <c r="O5" s="20">
        <f t="shared" si="3"/>
        <v>5856.89</v>
      </c>
      <c r="P5" s="22">
        <f t="shared" si="4"/>
        <v>69.4444612002235</v>
      </c>
    </row>
  </sheetData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EEBE3B9-C502-D7E8-379E-BA2F0FD70AE8}" mc:Ignorable="x14ac xr xr2 xr3">
  <dimension ref="A1:GR1000"/>
  <sheetViews>
    <sheetView topLeftCell="A1" workbookViewId="0">
      <selection activeCell="A1" sqref="A1:H1"/>
    </sheetView>
  </sheetViews>
  <sheetFormatPr defaultRowHeight="15" defaultColWidth="8.8515625" customHeight="1"/>
  <cols>
    <col min="1" max="1" width="11.421875" customWidth="1"/>
    <col min="2" max="2" width="17.140625" customWidth="1"/>
    <col min="3" max="5" width="14.28125" customWidth="1"/>
    <col min="6" max="8" width="17.140625" customWidth="1"/>
  </cols>
  <sheetData>
    <row r="1" ht="18.75" customHeight="1">
      <c r="A1" s="23" t="s">
        <v>53</v>
      </c>
    </row>
    <row r="2" ht="15.75" customHeight="1">
      <c r="A2" s="24" t="s">
        <v>54</v>
      </c>
    </row>
    <row r="4" ht="15.75" customHeight="1">
      <c r="A4" s="3" t="s">
        <v>55</v>
      </c>
    </row>
    <row r="5" ht="15" customHeight="1">
      <c r="A5" s="25" t="s">
        <v>56</v>
      </c>
      <c r="B5" s="9">
        <f>Cards!D2</f>
        <v>2350</v>
      </c>
      <c r="C5" s="25" t="s">
        <v>57</v>
      </c>
      <c r="D5" s="10">
        <f>Cards!E2</f>
        <v>0.1999</v>
      </c>
      <c r="E5" s="25" t="s">
        <v>58</v>
      </c>
      <c r="F5" s="9">
        <f>Cards!G2</f>
        <v>50</v>
      </c>
    </row>
    <row r="6" ht="15" customHeight="1">
      <c r="A6" s="26" t="s">
        <v>26</v>
      </c>
      <c r="B6" s="26" t="s">
        <v>59</v>
      </c>
      <c r="C6" s="26" t="s">
        <v>35</v>
      </c>
      <c r="D6" s="26" t="s">
        <v>60</v>
      </c>
      <c r="E6" s="26" t="s">
        <v>34</v>
      </c>
      <c r="F6" s="26" t="s">
        <v>61</v>
      </c>
      <c r="G6" s="26" t="s">
        <v>62</v>
      </c>
      <c r="H6" s="26" t="s">
        <v>63</v>
      </c>
    </row>
    <row r="7" ht="15" customHeight="1">
      <c r="A7" s="11">
        <v>1</v>
      </c>
      <c r="B7" s="9">
        <f>Cards!D2</f>
        <v>2350</v>
      </c>
      <c r="C7" s="9">
        <f>B7*Cards!E2/12</f>
        <v>39.1470833333333</v>
      </c>
      <c r="D7" s="9">
        <f>Cards!G2</f>
        <v>50</v>
      </c>
      <c r="E7" s="9">
        <f t="shared" si="0" ref="E7:E69">MIN(D7-C7,B7)</f>
        <v>10.8529166666667</v>
      </c>
      <c r="F7" s="9">
        <f t="shared" si="1" ref="F7:F69">MAX(0,B7-E7)</f>
        <v>2339.14708333333</v>
      </c>
      <c r="G7" s="9">
        <f t="shared" si="5" ref="G7:G58">C7</f>
        <v>39.1470833333333</v>
      </c>
      <c r="H7" s="9">
        <f t="shared" si="6" ref="H7:H58">E7</f>
        <v>10.8529166666667</v>
      </c>
    </row>
    <row r="8" ht="15" customHeight="1">
      <c r="A8" s="27">
        <v>2</v>
      </c>
      <c r="B8" s="28">
        <f t="shared" si="2" ref="B8:B69">F7</f>
        <v>2339.14708333333</v>
      </c>
      <c r="C8" s="28">
        <f>B8*Cards!E2/12</f>
        <v>38.9662918298611</v>
      </c>
      <c r="D8" s="28">
        <f>Cards!G2</f>
        <v>50</v>
      </c>
      <c r="E8" s="28">
        <f t="shared" si="0"/>
        <v>11.0337081701389</v>
      </c>
      <c r="F8" s="28">
        <f t="shared" si="1"/>
        <v>2328.11337516319</v>
      </c>
      <c r="G8" s="28">
        <f t="shared" si="3" ref="G8:G69">G7+C8</f>
        <v>78.1133751631944</v>
      </c>
      <c r="H8" s="28">
        <f t="shared" si="4" ref="H8:H69">H7+E8</f>
        <v>21.8866248368056</v>
      </c>
    </row>
    <row r="9" ht="15" customHeight="1">
      <c r="A9" s="11">
        <v>3</v>
      </c>
      <c r="B9" s="9">
        <f t="shared" si="2"/>
        <v>2328.11337516319</v>
      </c>
      <c r="C9" s="9">
        <f>B9*Cards!E2/12</f>
        <v>38.7824886412601</v>
      </c>
      <c r="D9" s="9">
        <f>Cards!G2</f>
        <v>50</v>
      </c>
      <c r="E9" s="9">
        <f t="shared" si="0"/>
        <v>11.2175113587399</v>
      </c>
      <c r="F9" s="9">
        <f t="shared" si="1"/>
        <v>2316.89586380445</v>
      </c>
      <c r="G9" s="9">
        <f t="shared" si="3"/>
        <v>116.895863804455</v>
      </c>
      <c r="H9" s="9">
        <f t="shared" si="4"/>
        <v>33.1041361955455</v>
      </c>
    </row>
    <row r="10" ht="15" customHeight="1">
      <c r="A10" s="27">
        <v>4</v>
      </c>
      <c r="B10" s="28">
        <f t="shared" si="2"/>
        <v>2316.89586380445</v>
      </c>
      <c r="C10" s="28">
        <f>B10*Cards!E2/12</f>
        <v>38.5956235978758</v>
      </c>
      <c r="D10" s="28">
        <f>Cards!G2</f>
        <v>50</v>
      </c>
      <c r="E10" s="28">
        <f t="shared" si="0"/>
        <v>11.4043764021242</v>
      </c>
      <c r="F10" s="28">
        <f t="shared" si="1"/>
        <v>2305.49148740233</v>
      </c>
      <c r="G10" s="28">
        <f t="shared" si="3"/>
        <v>155.491487402331</v>
      </c>
      <c r="H10" s="28">
        <f t="shared" si="4"/>
        <v>44.5085125976697</v>
      </c>
    </row>
    <row r="11" ht="15" customHeight="1">
      <c r="A11" s="11">
        <v>5</v>
      </c>
      <c r="B11" s="9">
        <f t="shared" si="2"/>
        <v>2305.49148740233</v>
      </c>
      <c r="C11" s="9">
        <f>B11*Cards!E2/12</f>
        <v>38.4056456943105</v>
      </c>
      <c r="D11" s="9">
        <f>Cards!G2</f>
        <v>50</v>
      </c>
      <c r="E11" s="9">
        <f t="shared" si="0"/>
        <v>11.5943543056895</v>
      </c>
      <c r="F11" s="9">
        <f t="shared" si="1"/>
        <v>2293.89713309664</v>
      </c>
      <c r="G11" s="9">
        <f t="shared" si="3"/>
        <v>193.897133096641</v>
      </c>
      <c r="H11" s="9">
        <f t="shared" si="4"/>
        <v>56.1028669033592</v>
      </c>
    </row>
    <row r="12" ht="15" customHeight="1">
      <c r="A12" s="27">
        <v>6</v>
      </c>
      <c r="B12" s="28">
        <f t="shared" si="2"/>
        <v>2293.89713309664</v>
      </c>
      <c r="C12" s="28">
        <f>B12*Cards!E2/12</f>
        <v>38.2125030755015</v>
      </c>
      <c r="D12" s="28">
        <f>Cards!G2</f>
        <v>50</v>
      </c>
      <c r="E12" s="28">
        <f t="shared" si="0"/>
        <v>11.7874969244985</v>
      </c>
      <c r="F12" s="28">
        <f t="shared" si="1"/>
        <v>2282.10963617214</v>
      </c>
      <c r="G12" s="28">
        <f t="shared" si="3"/>
        <v>232.109636172143</v>
      </c>
      <c r="H12" s="28">
        <f t="shared" si="4"/>
        <v>67.8903638278577</v>
      </c>
    </row>
    <row r="13" ht="15" customHeight="1">
      <c r="A13" s="11">
        <v>7</v>
      </c>
      <c r="B13" s="9">
        <f t="shared" si="2"/>
        <v>2282.10963617214</v>
      </c>
      <c r="C13" s="9">
        <f>B13*Cards!E2/12</f>
        <v>38.0161430225676</v>
      </c>
      <c r="D13" s="9">
        <f>Cards!G2</f>
        <v>50</v>
      </c>
      <c r="E13" s="9">
        <f t="shared" si="0"/>
        <v>11.9838569774324</v>
      </c>
      <c r="F13" s="9">
        <f t="shared" si="1"/>
        <v>2270.12577919471</v>
      </c>
      <c r="G13" s="9">
        <f t="shared" si="3"/>
        <v>270.125779194711</v>
      </c>
      <c r="H13" s="9">
        <f t="shared" si="4"/>
        <v>79.8742208052901</v>
      </c>
    </row>
    <row r="14" ht="15" customHeight="1">
      <c r="A14" s="27">
        <v>8</v>
      </c>
      <c r="B14" s="28">
        <f t="shared" si="2"/>
        <v>2270.12577919471</v>
      </c>
      <c r="C14" s="28">
        <f>B14*Cards!E2/12</f>
        <v>37.8165119384185</v>
      </c>
      <c r="D14" s="28">
        <f>Cards!G2</f>
        <v>50</v>
      </c>
      <c r="E14" s="28">
        <f t="shared" si="0"/>
        <v>12.1834880615815</v>
      </c>
      <c r="F14" s="28">
        <f t="shared" si="1"/>
        <v>2257.94229113313</v>
      </c>
      <c r="G14" s="28">
        <f t="shared" si="3"/>
        <v>307.94229113313</v>
      </c>
      <c r="H14" s="28">
        <f t="shared" si="4"/>
        <v>92.0577088668716</v>
      </c>
    </row>
    <row r="15" ht="15" customHeight="1">
      <c r="A15" s="11">
        <v>9</v>
      </c>
      <c r="B15" s="9">
        <f t="shared" si="2"/>
        <v>2257.94229113313</v>
      </c>
      <c r="C15" s="9">
        <f>B15*Cards!E2/12</f>
        <v>37.6135553331261</v>
      </c>
      <c r="D15" s="9">
        <f>Cards!G2</f>
        <v>50</v>
      </c>
      <c r="E15" s="9">
        <f t="shared" si="0"/>
        <v>12.3864446668739</v>
      </c>
      <c r="F15" s="9">
        <f t="shared" si="1"/>
        <v>2245.55584646626</v>
      </c>
      <c r="G15" s="9">
        <f t="shared" si="3"/>
        <v>345.555846466256</v>
      </c>
      <c r="H15" s="9">
        <f t="shared" si="4"/>
        <v>104.444153533745</v>
      </c>
    </row>
    <row r="16" ht="15" customHeight="1">
      <c r="A16" s="27">
        <v>10</v>
      </c>
      <c r="B16" s="28">
        <f t="shared" si="2"/>
        <v>2245.55584646626</v>
      </c>
      <c r="C16" s="28">
        <f>B16*Cards!E2/12</f>
        <v>37.4072178090504</v>
      </c>
      <c r="D16" s="28">
        <f>Cards!G2</f>
        <v>50</v>
      </c>
      <c r="E16" s="28">
        <f t="shared" si="0"/>
        <v>12.5927821909496</v>
      </c>
      <c r="F16" s="28">
        <f t="shared" si="1"/>
        <v>2232.96306427531</v>
      </c>
      <c r="G16" s="28">
        <f t="shared" si="3"/>
        <v>382.963064275306</v>
      </c>
      <c r="H16" s="28">
        <f t="shared" si="4"/>
        <v>117.036935724695</v>
      </c>
    </row>
    <row r="17" ht="15" customHeight="1">
      <c r="A17" s="11">
        <v>11</v>
      </c>
      <c r="B17" s="9">
        <f t="shared" si="2"/>
        <v>2232.96306427531</v>
      </c>
      <c r="C17" s="9">
        <f>B17*Cards!E2/12</f>
        <v>37.1974430457195</v>
      </c>
      <c r="D17" s="9">
        <f>Cards!G2</f>
        <v>50</v>
      </c>
      <c r="E17" s="9">
        <f t="shared" si="0"/>
        <v>12.8025569542805</v>
      </c>
      <c r="F17" s="9">
        <f t="shared" si="1"/>
        <v>2220.16050732103</v>
      </c>
      <c r="G17" s="9">
        <f t="shared" si="3"/>
        <v>420.160507321026</v>
      </c>
      <c r="H17" s="9">
        <f t="shared" si="4"/>
        <v>129.839492678975</v>
      </c>
    </row>
    <row r="18" ht="15" customHeight="1">
      <c r="A18" s="27">
        <v>12</v>
      </c>
      <c r="B18" s="28">
        <f t="shared" si="2"/>
        <v>2220.16050732103</v>
      </c>
      <c r="C18" s="28">
        <f>B18*Cards!E2/12</f>
        <v>36.9841737844562</v>
      </c>
      <c r="D18" s="28">
        <f>Cards!G2</f>
        <v>50</v>
      </c>
      <c r="E18" s="28">
        <f t="shared" si="0"/>
        <v>13.0158262155438</v>
      </c>
      <c r="F18" s="28">
        <f t="shared" si="1"/>
        <v>2207.14468110549</v>
      </c>
      <c r="G18" s="28">
        <f t="shared" si="3"/>
        <v>457.144681105482</v>
      </c>
      <c r="H18" s="28">
        <f t="shared" si="4"/>
        <v>142.855318894519</v>
      </c>
    </row>
    <row r="21" ht="15.75" customHeight="1">
      <c r="A21" s="3" t="s">
        <v>64</v>
      </c>
    </row>
    <row r="22" ht="15" customHeight="1">
      <c r="A22" s="25" t="s">
        <v>56</v>
      </c>
      <c r="B22" s="9">
        <f>Cards!D3</f>
        <v>3800</v>
      </c>
      <c r="C22" s="25" t="s">
        <v>57</v>
      </c>
      <c r="D22" s="10">
        <f>Cards!E3</f>
        <v>0.2449</v>
      </c>
      <c r="E22" s="25" t="s">
        <v>58</v>
      </c>
      <c r="F22" s="9">
        <f>Cards!G3</f>
        <v>95</v>
      </c>
    </row>
    <row r="23" ht="15" customHeight="1">
      <c r="A23" s="26" t="s">
        <v>26</v>
      </c>
      <c r="B23" s="26" t="s">
        <v>59</v>
      </c>
      <c r="C23" s="26" t="s">
        <v>35</v>
      </c>
      <c r="D23" s="26" t="s">
        <v>60</v>
      </c>
      <c r="E23" s="26" t="s">
        <v>34</v>
      </c>
      <c r="F23" s="26" t="s">
        <v>61</v>
      </c>
      <c r="G23" s="26" t="s">
        <v>62</v>
      </c>
      <c r="H23" s="26" t="s">
        <v>63</v>
      </c>
    </row>
    <row r="24" ht="15" customHeight="1">
      <c r="A24" s="11">
        <v>1</v>
      </c>
      <c r="B24" s="9">
        <f>Cards!D3</f>
        <v>3800</v>
      </c>
      <c r="C24" s="9">
        <f>B24*Cards!E3/12</f>
        <v>77.5516666666667</v>
      </c>
      <c r="D24" s="9">
        <f>Cards!G3</f>
        <v>95</v>
      </c>
      <c r="E24" s="9">
        <f t="shared" si="0"/>
        <v>17.4483333333333</v>
      </c>
      <c r="F24" s="9">
        <f t="shared" si="1"/>
        <v>3782.55166666667</v>
      </c>
      <c r="G24" s="9">
        <f t="shared" si="5"/>
        <v>77.5516666666667</v>
      </c>
      <c r="H24" s="9">
        <f t="shared" si="6"/>
        <v>17.4483333333333</v>
      </c>
    </row>
    <row r="25" ht="15" customHeight="1">
      <c r="A25" s="27">
        <v>2</v>
      </c>
      <c r="B25" s="28">
        <f t="shared" si="2"/>
        <v>3782.55166666667</v>
      </c>
      <c r="C25" s="28">
        <f>B25*Cards!E3/12</f>
        <v>77.195575263889</v>
      </c>
      <c r="D25" s="28">
        <f>Cards!G3</f>
        <v>95</v>
      </c>
      <c r="E25" s="28">
        <f t="shared" si="0"/>
        <v>17.804424736111</v>
      </c>
      <c r="F25" s="28">
        <f t="shared" si="1"/>
        <v>3764.74724193056</v>
      </c>
      <c r="G25" s="28">
        <f t="shared" si="3"/>
        <v>154.747241930556</v>
      </c>
      <c r="H25" s="28">
        <f t="shared" si="4"/>
        <v>35.2527580694443</v>
      </c>
    </row>
    <row r="26" ht="15" customHeight="1">
      <c r="A26" s="11">
        <v>3</v>
      </c>
      <c r="B26" s="9">
        <f t="shared" si="2"/>
        <v>3764.74724193056</v>
      </c>
      <c r="C26" s="9">
        <f>B26*Cards!E3/12</f>
        <v>76.8322166290662</v>
      </c>
      <c r="D26" s="9">
        <f>Cards!G3</f>
        <v>95</v>
      </c>
      <c r="E26" s="9">
        <f t="shared" si="0"/>
        <v>18.1677833709338</v>
      </c>
      <c r="F26" s="9">
        <f t="shared" si="1"/>
        <v>3746.57945855963</v>
      </c>
      <c r="G26" s="9">
        <f t="shared" si="3"/>
        <v>231.579458559622</v>
      </c>
      <c r="H26" s="9">
        <f t="shared" si="4"/>
        <v>53.4205414403781</v>
      </c>
    </row>
    <row r="27" ht="15" customHeight="1">
      <c r="A27" s="27">
        <v>4</v>
      </c>
      <c r="B27" s="28">
        <f t="shared" si="2"/>
        <v>3746.57945855963</v>
      </c>
      <c r="C27" s="28">
        <f>B27*Cards!E3/12</f>
        <v>76.4614424501045</v>
      </c>
      <c r="D27" s="28">
        <f>Cards!G3</f>
        <v>95</v>
      </c>
      <c r="E27" s="28">
        <f t="shared" si="0"/>
        <v>18.5385575498955</v>
      </c>
      <c r="F27" s="28">
        <f t="shared" si="1"/>
        <v>3728.04090100973</v>
      </c>
      <c r="G27" s="28">
        <f t="shared" si="3"/>
        <v>308.040901009726</v>
      </c>
      <c r="H27" s="28">
        <f t="shared" si="4"/>
        <v>71.9590989902736</v>
      </c>
    </row>
    <row r="28" ht="15" customHeight="1">
      <c r="A28" s="11">
        <v>5</v>
      </c>
      <c r="B28" s="9">
        <f t="shared" si="2"/>
        <v>3728.04090100973</v>
      </c>
      <c r="C28" s="9">
        <f>B28*Cards!E3/12</f>
        <v>76.0831013881069</v>
      </c>
      <c r="D28" s="9">
        <f>Cards!G3</f>
        <v>95</v>
      </c>
      <c r="E28" s="9">
        <f t="shared" si="0"/>
        <v>18.9168986118931</v>
      </c>
      <c r="F28" s="9">
        <f t="shared" si="1"/>
        <v>3709.12400239784</v>
      </c>
      <c r="G28" s="9">
        <f t="shared" si="3"/>
        <v>384.124002397833</v>
      </c>
      <c r="H28" s="9">
        <f t="shared" si="4"/>
        <v>90.8759976021667</v>
      </c>
    </row>
    <row r="29" ht="15" customHeight="1">
      <c r="A29" s="27">
        <v>6</v>
      </c>
      <c r="B29" s="28">
        <f t="shared" si="2"/>
        <v>3709.12400239784</v>
      </c>
      <c r="C29" s="28">
        <f>B29*Cards!E3/12</f>
        <v>75.6970390156026</v>
      </c>
      <c r="D29" s="28">
        <f>Cards!G3</f>
        <v>95</v>
      </c>
      <c r="E29" s="28">
        <f t="shared" si="0"/>
        <v>19.3029609843974</v>
      </c>
      <c r="F29" s="28">
        <f t="shared" si="1"/>
        <v>3689.82104141344</v>
      </c>
      <c r="G29" s="28">
        <f t="shared" si="3"/>
        <v>459.821041413436</v>
      </c>
      <c r="H29" s="28">
        <f t="shared" si="4"/>
        <v>110.178958586564</v>
      </c>
    </row>
    <row r="30" ht="15" customHeight="1">
      <c r="A30" s="11">
        <v>7</v>
      </c>
      <c r="B30" s="9">
        <f t="shared" si="2"/>
        <v>3689.82104141344</v>
      </c>
      <c r="C30" s="9">
        <f>B30*Cards!E3/12</f>
        <v>75.3030977535126</v>
      </c>
      <c r="D30" s="9">
        <f>Cards!G3</f>
        <v>95</v>
      </c>
      <c r="E30" s="9">
        <f t="shared" si="0"/>
        <v>19.6969022464874</v>
      </c>
      <c r="F30" s="9">
        <f t="shared" si="1"/>
        <v>3670.12413916695</v>
      </c>
      <c r="G30" s="9">
        <f t="shared" si="3"/>
        <v>535.124139166949</v>
      </c>
      <c r="H30" s="9">
        <f t="shared" si="4"/>
        <v>129.875860833051</v>
      </c>
    </row>
    <row r="31" ht="15" customHeight="1">
      <c r="A31" s="27">
        <v>8</v>
      </c>
      <c r="B31" s="28">
        <f t="shared" si="2"/>
        <v>3670.12413916695</v>
      </c>
      <c r="C31" s="28">
        <f>B31*Cards!E3/12</f>
        <v>74.9011168068322</v>
      </c>
      <c r="D31" s="28">
        <f>Cards!G3</f>
        <v>95</v>
      </c>
      <c r="E31" s="28">
        <f t="shared" si="0"/>
        <v>20.0988831931678</v>
      </c>
      <c r="F31" s="28">
        <f t="shared" si="1"/>
        <v>3650.02525597378</v>
      </c>
      <c r="G31" s="28">
        <f t="shared" si="3"/>
        <v>610.025255973781</v>
      </c>
      <c r="H31" s="28">
        <f t="shared" si="4"/>
        <v>149.974744026219</v>
      </c>
    </row>
    <row r="32" ht="15" customHeight="1">
      <c r="A32" s="11">
        <v>9</v>
      </c>
      <c r="B32" s="9">
        <f t="shared" si="2"/>
        <v>3650.02525597378</v>
      </c>
      <c r="C32" s="9">
        <f>B32*Cards!E3/12</f>
        <v>74.4909320989982</v>
      </c>
      <c r="D32" s="9">
        <f>Cards!G3</f>
        <v>95</v>
      </c>
      <c r="E32" s="9">
        <f t="shared" si="0"/>
        <v>20.5090679010018</v>
      </c>
      <c r="F32" s="9">
        <f t="shared" si="1"/>
        <v>3629.51618807278</v>
      </c>
      <c r="G32" s="9">
        <f t="shared" si="3"/>
        <v>684.516188072779</v>
      </c>
      <c r="H32" s="9">
        <f t="shared" si="4"/>
        <v>170.483811927221</v>
      </c>
    </row>
    <row r="33" ht="15" customHeight="1">
      <c r="A33" s="27">
        <v>10</v>
      </c>
      <c r="B33" s="28">
        <f t="shared" si="2"/>
        <v>3629.51618807278</v>
      </c>
      <c r="C33" s="28">
        <f>B33*Cards!E3/12</f>
        <v>74.0723762049187</v>
      </c>
      <c r="D33" s="28">
        <f>Cards!G3</f>
        <v>95</v>
      </c>
      <c r="E33" s="28">
        <f t="shared" si="0"/>
        <v>20.9276237950813</v>
      </c>
      <c r="F33" s="28">
        <f t="shared" si="1"/>
        <v>3608.5885642777</v>
      </c>
      <c r="G33" s="28">
        <f t="shared" si="3"/>
        <v>758.588564277698</v>
      </c>
      <c r="H33" s="28">
        <f t="shared" si="4"/>
        <v>191.411435722302</v>
      </c>
    </row>
    <row r="34" ht="15" customHeight="1">
      <c r="A34" s="11">
        <v>11</v>
      </c>
      <c r="B34" s="9">
        <f t="shared" si="2"/>
        <v>3608.5885642777</v>
      </c>
      <c r="C34" s="9">
        <f>B34*Cards!E3/12</f>
        <v>73.6452782826341</v>
      </c>
      <c r="D34" s="9">
        <f>Cards!G3</f>
        <v>95</v>
      </c>
      <c r="E34" s="9">
        <f t="shared" si="0"/>
        <v>21.3547217173659</v>
      </c>
      <c r="F34" s="9">
        <f t="shared" si="1"/>
        <v>3587.23384256033</v>
      </c>
      <c r="G34" s="9">
        <f t="shared" si="3"/>
        <v>832.233842560332</v>
      </c>
      <c r="H34" s="9">
        <f t="shared" si="4"/>
        <v>212.766157439668</v>
      </c>
    </row>
    <row r="35" ht="15" customHeight="1">
      <c r="A35" s="27">
        <v>12</v>
      </c>
      <c r="B35" s="28">
        <f t="shared" si="2"/>
        <v>3587.23384256033</v>
      </c>
      <c r="C35" s="28">
        <f>B35*Cards!E3/12</f>
        <v>73.2094640035854</v>
      </c>
      <c r="D35" s="28">
        <f>Cards!G3</f>
        <v>95</v>
      </c>
      <c r="E35" s="28">
        <f t="shared" si="0"/>
        <v>21.7905359964146</v>
      </c>
      <c r="F35" s="28">
        <f t="shared" si="1"/>
        <v>3565.44330656392</v>
      </c>
      <c r="G35" s="28">
        <f t="shared" si="3"/>
        <v>905.443306563917</v>
      </c>
      <c r="H35" s="28">
        <f t="shared" si="4"/>
        <v>234.556693436083</v>
      </c>
    </row>
    <row r="38" ht="15.75" customHeight="1">
      <c r="A38" s="3" t="s">
        <v>65</v>
      </c>
    </row>
    <row r="39" ht="15" customHeight="1">
      <c r="A39" s="25" t="s">
        <v>56</v>
      </c>
      <c r="B39" s="9">
        <f>Cards!D4</f>
        <v>1200</v>
      </c>
      <c r="C39" s="25" t="s">
        <v>57</v>
      </c>
      <c r="D39" s="10">
        <f>Cards!E4</f>
        <v>0.1724</v>
      </c>
      <c r="E39" s="25" t="s">
        <v>58</v>
      </c>
      <c r="F39" s="9">
        <f>Cards!G4</f>
        <v>35</v>
      </c>
    </row>
    <row r="40" ht="15" customHeight="1">
      <c r="A40" s="26" t="s">
        <v>26</v>
      </c>
      <c r="B40" s="26" t="s">
        <v>59</v>
      </c>
      <c r="C40" s="26" t="s">
        <v>35</v>
      </c>
      <c r="D40" s="26" t="s">
        <v>60</v>
      </c>
      <c r="E40" s="26" t="s">
        <v>34</v>
      </c>
      <c r="F40" s="26" t="s">
        <v>61</v>
      </c>
      <c r="G40" s="26" t="s">
        <v>62</v>
      </c>
      <c r="H40" s="26" t="s">
        <v>63</v>
      </c>
    </row>
    <row r="41" ht="15" customHeight="1">
      <c r="A41" s="11">
        <v>1</v>
      </c>
      <c r="B41" s="9">
        <f>Cards!D4</f>
        <v>1200</v>
      </c>
      <c r="C41" s="9">
        <f>B41*Cards!E4/12</f>
        <v>17.24</v>
      </c>
      <c r="D41" s="9">
        <f>Cards!G4</f>
        <v>35</v>
      </c>
      <c r="E41" s="9">
        <f t="shared" si="0"/>
        <v>17.76</v>
      </c>
      <c r="F41" s="9">
        <f t="shared" si="1"/>
        <v>1182.24</v>
      </c>
      <c r="G41" s="9">
        <f t="shared" si="5"/>
        <v>17.24</v>
      </c>
      <c r="H41" s="9">
        <f t="shared" si="6"/>
        <v>17.76</v>
      </c>
    </row>
    <row r="42" ht="15" customHeight="1">
      <c r="A42" s="27">
        <v>2</v>
      </c>
      <c r="B42" s="28">
        <f t="shared" si="2"/>
        <v>1182.24</v>
      </c>
      <c r="C42" s="28">
        <f>B42*Cards!E4/12</f>
        <v>16.984848</v>
      </c>
      <c r="D42" s="28">
        <f>Cards!G4</f>
        <v>35</v>
      </c>
      <c r="E42" s="28">
        <f t="shared" si="0"/>
        <v>18.015152</v>
      </c>
      <c r="F42" s="28">
        <f t="shared" si="1"/>
        <v>1164.224848</v>
      </c>
      <c r="G42" s="28">
        <f t="shared" si="3"/>
        <v>34.224848</v>
      </c>
      <c r="H42" s="28">
        <f t="shared" si="4"/>
        <v>35.775152</v>
      </c>
    </row>
    <row r="43" ht="15" customHeight="1">
      <c r="A43" s="11">
        <v>3</v>
      </c>
      <c r="B43" s="9">
        <f t="shared" si="2"/>
        <v>1164.224848</v>
      </c>
      <c r="C43" s="9">
        <f>B43*Cards!E4/12</f>
        <v>16.7260303162667</v>
      </c>
      <c r="D43" s="9">
        <f>Cards!G4</f>
        <v>35</v>
      </c>
      <c r="E43" s="9">
        <f t="shared" si="0"/>
        <v>18.2739696837333</v>
      </c>
      <c r="F43" s="9">
        <f t="shared" si="1"/>
        <v>1145.95087831627</v>
      </c>
      <c r="G43" s="9">
        <f t="shared" si="3"/>
        <v>50.9508783162667</v>
      </c>
      <c r="H43" s="9">
        <f t="shared" si="4"/>
        <v>54.0491216837333</v>
      </c>
    </row>
    <row r="44" ht="15" customHeight="1">
      <c r="A44" s="27">
        <v>4</v>
      </c>
      <c r="B44" s="28">
        <f t="shared" si="2"/>
        <v>1145.95087831627</v>
      </c>
      <c r="C44" s="28">
        <f>B44*Cards!E4/12</f>
        <v>16.4634942851437</v>
      </c>
      <c r="D44" s="28">
        <f>Cards!G4</f>
        <v>35</v>
      </c>
      <c r="E44" s="28">
        <f t="shared" si="0"/>
        <v>18.5365057148563</v>
      </c>
      <c r="F44" s="28">
        <f t="shared" si="1"/>
        <v>1127.41437260141</v>
      </c>
      <c r="G44" s="28">
        <f t="shared" si="3"/>
        <v>67.4143726014104</v>
      </c>
      <c r="H44" s="28">
        <f t="shared" si="4"/>
        <v>72.5856273985896</v>
      </c>
    </row>
    <row r="45" ht="15" customHeight="1">
      <c r="A45" s="11">
        <v>5</v>
      </c>
      <c r="B45" s="9">
        <f t="shared" si="2"/>
        <v>1127.41437260141</v>
      </c>
      <c r="C45" s="9">
        <f>B45*Cards!E4/12</f>
        <v>16.1971864863736</v>
      </c>
      <c r="D45" s="9">
        <f>Cards!G4</f>
        <v>35</v>
      </c>
      <c r="E45" s="9">
        <f t="shared" si="0"/>
        <v>18.8028135136264</v>
      </c>
      <c r="F45" s="9">
        <f t="shared" si="1"/>
        <v>1108.61155908778</v>
      </c>
      <c r="G45" s="9">
        <f t="shared" si="3"/>
        <v>83.611559087784</v>
      </c>
      <c r="H45" s="9">
        <f t="shared" si="4"/>
        <v>91.388440912216</v>
      </c>
    </row>
    <row r="46" ht="15" customHeight="1">
      <c r="A46" s="27">
        <v>6</v>
      </c>
      <c r="B46" s="28">
        <f t="shared" si="2"/>
        <v>1108.61155908778</v>
      </c>
      <c r="C46" s="28">
        <f>B46*Cards!E4/12</f>
        <v>15.9270527322278</v>
      </c>
      <c r="D46" s="28">
        <f>Cards!G4</f>
        <v>35</v>
      </c>
      <c r="E46" s="28">
        <f t="shared" si="0"/>
        <v>19.0729472677722</v>
      </c>
      <c r="F46" s="28">
        <f t="shared" si="1"/>
        <v>1089.53861182001</v>
      </c>
      <c r="G46" s="28">
        <f t="shared" si="3"/>
        <v>99.5386118200118</v>
      </c>
      <c r="H46" s="28">
        <f t="shared" si="4"/>
        <v>110.461388179988</v>
      </c>
    </row>
    <row r="47" ht="15" customHeight="1">
      <c r="A47" s="11">
        <v>7</v>
      </c>
      <c r="B47" s="9">
        <f t="shared" si="2"/>
        <v>1089.53861182001</v>
      </c>
      <c r="C47" s="9">
        <f>B47*Cards!E4/12</f>
        <v>15.6530380564808</v>
      </c>
      <c r="D47" s="9">
        <f>Cards!G4</f>
        <v>35</v>
      </c>
      <c r="E47" s="9">
        <f t="shared" si="0"/>
        <v>19.3469619435192</v>
      </c>
      <c r="F47" s="9">
        <f t="shared" si="1"/>
        <v>1070.19164987649</v>
      </c>
      <c r="G47" s="9">
        <f t="shared" si="3"/>
        <v>115.191649876493</v>
      </c>
      <c r="H47" s="9">
        <f t="shared" si="4"/>
        <v>129.808350123507</v>
      </c>
    </row>
    <row r="48" ht="15" customHeight="1">
      <c r="A48" s="27">
        <v>8</v>
      </c>
      <c r="B48" s="28">
        <f t="shared" si="2"/>
        <v>1070.19164987649</v>
      </c>
      <c r="C48" s="28">
        <f>B48*Cards!E4/12</f>
        <v>15.3750867032256</v>
      </c>
      <c r="D48" s="28">
        <f>Cards!G4</f>
        <v>35</v>
      </c>
      <c r="E48" s="28">
        <f t="shared" si="0"/>
        <v>19.6249132967744</v>
      </c>
      <c r="F48" s="28">
        <f t="shared" si="1"/>
        <v>1050.56673657972</v>
      </c>
      <c r="G48" s="28">
        <f t="shared" si="3"/>
        <v>130.566736579719</v>
      </c>
      <c r="H48" s="28">
        <f t="shared" si="4"/>
        <v>149.433263420281</v>
      </c>
    </row>
    <row r="49" ht="15" customHeight="1">
      <c r="A49" s="11">
        <v>9</v>
      </c>
      <c r="B49" s="9">
        <f t="shared" si="2"/>
        <v>1050.56673657972</v>
      </c>
      <c r="C49" s="9">
        <f>B49*Cards!E4/12</f>
        <v>15.0931421155286</v>
      </c>
      <c r="D49" s="9">
        <f>Cards!G4</f>
        <v>35</v>
      </c>
      <c r="E49" s="9">
        <f t="shared" si="0"/>
        <v>19.9068578844714</v>
      </c>
      <c r="F49" s="9">
        <f t="shared" si="1"/>
        <v>1030.65987869525</v>
      </c>
      <c r="G49" s="9">
        <f t="shared" si="3"/>
        <v>145.659878695248</v>
      </c>
      <c r="H49" s="9">
        <f t="shared" si="4"/>
        <v>169.340121304752</v>
      </c>
    </row>
    <row r="50" ht="15" customHeight="1">
      <c r="A50" s="27">
        <v>10</v>
      </c>
      <c r="B50" s="28">
        <f t="shared" si="2"/>
        <v>1030.65987869525</v>
      </c>
      <c r="C50" s="28">
        <f>B50*Cards!E4/12</f>
        <v>14.8071469239218</v>
      </c>
      <c r="D50" s="28">
        <f>Cards!G4</f>
        <v>35</v>
      </c>
      <c r="E50" s="28">
        <f t="shared" si="0"/>
        <v>20.1928530760782</v>
      </c>
      <c r="F50" s="28">
        <f t="shared" si="1"/>
        <v>1010.46702561917</v>
      </c>
      <c r="G50" s="28">
        <f t="shared" si="3"/>
        <v>160.46702561917</v>
      </c>
      <c r="H50" s="28">
        <f t="shared" si="4"/>
        <v>189.53297438083</v>
      </c>
    </row>
    <row r="51" ht="15" customHeight="1">
      <c r="A51" s="11">
        <v>11</v>
      </c>
      <c r="B51" s="9">
        <f t="shared" si="2"/>
        <v>1010.46702561917</v>
      </c>
      <c r="C51" s="9">
        <f>B51*Cards!E4/12</f>
        <v>14.5170429347287</v>
      </c>
      <c r="D51" s="9">
        <f>Cards!G4</f>
        <v>35</v>
      </c>
      <c r="E51" s="9">
        <f t="shared" si="0"/>
        <v>20.4829570652713</v>
      </c>
      <c r="F51" s="9">
        <f t="shared" si="1"/>
        <v>989.984068553899</v>
      </c>
      <c r="G51" s="9">
        <f t="shared" si="3"/>
        <v>174.984068553899</v>
      </c>
      <c r="H51" s="9">
        <f t="shared" si="4"/>
        <v>210.015931446101</v>
      </c>
    </row>
    <row r="52" ht="15" customHeight="1">
      <c r="A52" s="27">
        <v>12</v>
      </c>
      <c r="B52" s="28">
        <f t="shared" si="2"/>
        <v>989.984068553899</v>
      </c>
      <c r="C52" s="28">
        <f>B52*Cards!E4/12</f>
        <v>14.2227711182243</v>
      </c>
      <c r="D52" s="28">
        <f>Cards!G4</f>
        <v>35</v>
      </c>
      <c r="E52" s="28">
        <f t="shared" si="0"/>
        <v>20.7772288817757</v>
      </c>
      <c r="F52" s="28">
        <f t="shared" si="1"/>
        <v>969.206839672123</v>
      </c>
      <c r="G52" s="28">
        <f t="shared" si="3"/>
        <v>189.206839672123</v>
      </c>
      <c r="H52" s="28">
        <f t="shared" si="4"/>
        <v>230.793160327877</v>
      </c>
    </row>
    <row r="55" ht="15.75" customHeight="1">
      <c r="A55" s="3" t="s">
        <v>66</v>
      </c>
    </row>
    <row r="56" ht="15" customHeight="1">
      <c r="A56" s="25" t="s">
        <v>56</v>
      </c>
      <c r="B56" s="9">
        <f>Cards!D5</f>
        <v>5900</v>
      </c>
      <c r="C56" s="25" t="s">
        <v>57</v>
      </c>
      <c r="D56" s="10">
        <f>Cards!E5</f>
        <v>0.2174</v>
      </c>
      <c r="E56" s="25" t="s">
        <v>58</v>
      </c>
      <c r="F56" s="9">
        <f>Cards!G5</f>
        <v>150</v>
      </c>
    </row>
    <row r="57" ht="15" customHeight="1">
      <c r="A57" s="26" t="s">
        <v>26</v>
      </c>
      <c r="B57" s="26" t="s">
        <v>59</v>
      </c>
      <c r="C57" s="26" t="s">
        <v>35</v>
      </c>
      <c r="D57" s="26" t="s">
        <v>60</v>
      </c>
      <c r="E57" s="26" t="s">
        <v>34</v>
      </c>
      <c r="F57" s="26" t="s">
        <v>61</v>
      </c>
      <c r="G57" s="26" t="s">
        <v>62</v>
      </c>
      <c r="H57" s="26" t="s">
        <v>63</v>
      </c>
    </row>
    <row r="58" ht="15" customHeight="1">
      <c r="A58" s="11">
        <v>1</v>
      </c>
      <c r="B58" s="9">
        <f>Cards!D5</f>
        <v>5900</v>
      </c>
      <c r="C58" s="9">
        <f>B58*Cards!E5/12</f>
        <v>106.888333333333</v>
      </c>
      <c r="D58" s="9">
        <f>Cards!G5</f>
        <v>150</v>
      </c>
      <c r="E58" s="9">
        <f t="shared" si="0"/>
        <v>43.111666666667</v>
      </c>
      <c r="F58" s="9">
        <f t="shared" si="1"/>
        <v>5856.88833333333</v>
      </c>
      <c r="G58" s="9">
        <f t="shared" si="5"/>
        <v>106.888333333333</v>
      </c>
      <c r="H58" s="9">
        <f t="shared" si="6"/>
        <v>43.111666666667</v>
      </c>
    </row>
    <row r="59" ht="15" customHeight="1">
      <c r="A59" s="27">
        <v>2</v>
      </c>
      <c r="B59" s="28">
        <f t="shared" si="2"/>
        <v>5856.88833333333</v>
      </c>
      <c r="C59" s="28">
        <f>B59*Cards!E5/12</f>
        <v>106.107293638889</v>
      </c>
      <c r="D59" s="28">
        <f>Cards!G5</f>
        <v>150</v>
      </c>
      <c r="E59" s="28">
        <f t="shared" si="0"/>
        <v>43.892706361111</v>
      </c>
      <c r="F59" s="28">
        <f t="shared" si="1"/>
        <v>5812.99562697222</v>
      </c>
      <c r="G59" s="28">
        <f t="shared" si="3"/>
        <v>212.995626972222</v>
      </c>
      <c r="H59" s="28">
        <f t="shared" si="4"/>
        <v>87.004373027778</v>
      </c>
    </row>
    <row r="60" ht="15" customHeight="1">
      <c r="A60" s="11">
        <v>3</v>
      </c>
      <c r="B60" s="9">
        <f t="shared" si="2"/>
        <v>5812.99562697222</v>
      </c>
      <c r="C60" s="9">
        <f>B60*Cards!E5/12</f>
        <v>105.312104108647</v>
      </c>
      <c r="D60" s="9">
        <f>Cards!G5</f>
        <v>150</v>
      </c>
      <c r="E60" s="9">
        <f t="shared" si="0"/>
        <v>44.687895891353</v>
      </c>
      <c r="F60" s="9">
        <f t="shared" si="1"/>
        <v>5768.30773108087</v>
      </c>
      <c r="G60" s="9">
        <f t="shared" si="3"/>
        <v>318.307731080869</v>
      </c>
      <c r="H60" s="9">
        <f t="shared" si="4"/>
        <v>131.692268919131</v>
      </c>
    </row>
    <row r="61" ht="15" customHeight="1">
      <c r="A61" s="27">
        <v>4</v>
      </c>
      <c r="B61" s="28">
        <f t="shared" si="2"/>
        <v>5768.30773108087</v>
      </c>
      <c r="C61" s="28">
        <f>B61*Cards!E5/12</f>
        <v>104.502508394748</v>
      </c>
      <c r="D61" s="28">
        <f>Cards!G5</f>
        <v>150</v>
      </c>
      <c r="E61" s="28">
        <f t="shared" si="0"/>
        <v>45.497491605252</v>
      </c>
      <c r="F61" s="28">
        <f t="shared" si="1"/>
        <v>5722.81023947562</v>
      </c>
      <c r="G61" s="28">
        <f t="shared" si="3"/>
        <v>422.810239475617</v>
      </c>
      <c r="H61" s="28">
        <f t="shared" si="4"/>
        <v>177.189760524383</v>
      </c>
    </row>
    <row r="62" ht="15" customHeight="1">
      <c r="A62" s="11">
        <v>5</v>
      </c>
      <c r="B62" s="9">
        <f t="shared" si="2"/>
        <v>5722.81023947562</v>
      </c>
      <c r="C62" s="9">
        <f>B62*Cards!E5/12</f>
        <v>103.678245505167</v>
      </c>
      <c r="D62" s="9">
        <f>Cards!G5</f>
        <v>150</v>
      </c>
      <c r="E62" s="9">
        <f t="shared" si="0"/>
        <v>46.321754494833</v>
      </c>
      <c r="F62" s="9">
        <f t="shared" si="1"/>
        <v>5676.48848498079</v>
      </c>
      <c r="G62" s="9">
        <f t="shared" si="3"/>
        <v>526.488484980784</v>
      </c>
      <c r="H62" s="9">
        <f t="shared" si="4"/>
        <v>223.511515019216</v>
      </c>
    </row>
    <row r="63" ht="15" customHeight="1">
      <c r="A63" s="27">
        <v>6</v>
      </c>
      <c r="B63" s="28">
        <f t="shared" si="2"/>
        <v>5676.48848498079</v>
      </c>
      <c r="C63" s="28">
        <f>B63*Cards!E5/12</f>
        <v>102.839049719569</v>
      </c>
      <c r="D63" s="28">
        <f>Cards!G5</f>
        <v>150</v>
      </c>
      <c r="E63" s="28">
        <f t="shared" si="0"/>
        <v>47.160950280431</v>
      </c>
      <c r="F63" s="28">
        <f t="shared" si="1"/>
        <v>5629.32753470036</v>
      </c>
      <c r="G63" s="28">
        <f t="shared" si="3"/>
        <v>629.327534700353</v>
      </c>
      <c r="H63" s="28">
        <f t="shared" si="4"/>
        <v>270.672465299647</v>
      </c>
    </row>
    <row r="64" ht="15" customHeight="1">
      <c r="A64" s="11">
        <v>7</v>
      </c>
      <c r="B64" s="9">
        <f t="shared" si="2"/>
        <v>5629.32753470036</v>
      </c>
      <c r="C64" s="9">
        <f>B64*Cards!E5/12</f>
        <v>101.984650503655</v>
      </c>
      <c r="D64" s="9">
        <f>Cards!G5</f>
        <v>150</v>
      </c>
      <c r="E64" s="9">
        <f t="shared" si="0"/>
        <v>48.015349496345</v>
      </c>
      <c r="F64" s="9">
        <f t="shared" si="1"/>
        <v>5581.31218520401</v>
      </c>
      <c r="G64" s="9">
        <f t="shared" si="3"/>
        <v>731.312185204008</v>
      </c>
      <c r="H64" s="9">
        <f t="shared" si="4"/>
        <v>318.687814795992</v>
      </c>
    </row>
    <row r="65" ht="15" customHeight="1">
      <c r="A65" s="27">
        <v>8</v>
      </c>
      <c r="B65" s="28">
        <f t="shared" si="2"/>
        <v>5581.31218520401</v>
      </c>
      <c r="C65" s="28">
        <f>B65*Cards!E5/12</f>
        <v>101.114772421946</v>
      </c>
      <c r="D65" s="28">
        <f>Cards!G5</f>
        <v>150</v>
      </c>
      <c r="E65" s="28">
        <f t="shared" si="0"/>
        <v>48.885227578054</v>
      </c>
      <c r="F65" s="28">
        <f t="shared" si="1"/>
        <v>5532.42695762596</v>
      </c>
      <c r="G65" s="28">
        <f t="shared" si="3"/>
        <v>832.426957625954</v>
      </c>
      <c r="H65" s="28">
        <f t="shared" si="4"/>
        <v>367.573042374046</v>
      </c>
    </row>
    <row r="66" ht="15" customHeight="1">
      <c r="A66" s="11">
        <v>9</v>
      </c>
      <c r="B66" s="9">
        <f t="shared" si="2"/>
        <v>5532.42695762596</v>
      </c>
      <c r="C66" s="9">
        <f>B66*Cards!E5/12</f>
        <v>100.22913504899</v>
      </c>
      <c r="D66" s="9">
        <f>Cards!G5</f>
        <v>150</v>
      </c>
      <c r="E66" s="9">
        <f t="shared" si="0"/>
        <v>49.77086495101</v>
      </c>
      <c r="F66" s="9">
        <f t="shared" si="1"/>
        <v>5482.65609267495</v>
      </c>
      <c r="G66" s="9">
        <f t="shared" si="3"/>
        <v>932.656092674944</v>
      </c>
      <c r="H66" s="9">
        <f t="shared" si="4"/>
        <v>417.343907325056</v>
      </c>
    </row>
    <row r="67" ht="15" customHeight="1">
      <c r="A67" s="27">
        <v>10</v>
      </c>
      <c r="B67" s="28">
        <f t="shared" si="2"/>
        <v>5482.65609267495</v>
      </c>
      <c r="C67" s="28">
        <f>B67*Cards!E5/12</f>
        <v>99.3274528789612</v>
      </c>
      <c r="D67" s="28">
        <f>Cards!G5</f>
        <v>150</v>
      </c>
      <c r="E67" s="28">
        <f t="shared" si="0"/>
        <v>50.6725471210388</v>
      </c>
      <c r="F67" s="28">
        <f t="shared" si="1"/>
        <v>5431.98354555391</v>
      </c>
      <c r="G67" s="28">
        <f t="shared" si="3"/>
        <v>1031.98354555391</v>
      </c>
      <c r="H67" s="28">
        <f t="shared" si="4"/>
        <v>468.016454446095</v>
      </c>
    </row>
    <row r="68" ht="15" customHeight="1">
      <c r="A68" s="11">
        <v>11</v>
      </c>
      <c r="B68" s="9">
        <f t="shared" si="2"/>
        <v>5431.98354555391</v>
      </c>
      <c r="C68" s="9">
        <f>B68*Cards!E5/12</f>
        <v>98.4094352336183</v>
      </c>
      <c r="D68" s="9">
        <f>Cards!G5</f>
        <v>150</v>
      </c>
      <c r="E68" s="9">
        <f t="shared" si="0"/>
        <v>51.5905647663817</v>
      </c>
      <c r="F68" s="9">
        <f t="shared" si="1"/>
        <v>5380.39298078753</v>
      </c>
      <c r="G68" s="9">
        <f t="shared" si="3"/>
        <v>1130.39298078753</v>
      </c>
      <c r="H68" s="9">
        <f t="shared" si="4"/>
        <v>519.607019212477</v>
      </c>
    </row>
    <row r="69" ht="15" customHeight="1">
      <c r="A69" s="27">
        <v>12</v>
      </c>
      <c r="B69" s="28">
        <f t="shared" si="2"/>
        <v>5380.39298078753</v>
      </c>
      <c r="C69" s="28">
        <f>B69*Cards!E5/12</f>
        <v>97.4747861686008</v>
      </c>
      <c r="D69" s="28">
        <f>Cards!G5</f>
        <v>150</v>
      </c>
      <c r="E69" s="28">
        <f t="shared" si="0"/>
        <v>52.5252138313992</v>
      </c>
      <c r="F69" s="28">
        <f t="shared" si="1"/>
        <v>5327.86776695613</v>
      </c>
      <c r="G69" s="28">
        <f t="shared" si="3"/>
        <v>1227.86776695613</v>
      </c>
      <c r="H69" s="28">
        <f t="shared" si="4"/>
        <v>572.132233043876</v>
      </c>
    </row>
    <row r="72" ht="15" customHeight="1">
      <c r="A72" s="14" t="s">
        <v>36</v>
      </c>
    </row>
    <row r="73" ht="15" customHeight="1">
      <c r="A73" s="15" t="s">
        <v>37</v>
      </c>
    </row>
    <row r="74" ht="13.5" customHeight="1">
      <c r="A74" s="16" t="s">
        <v>38</v>
      </c>
    </row>
  </sheetData>
  <mergeCells>
    <mergeCell ref="A1:H1"/>
    <mergeCell ref="A2:H2"/>
    <mergeCell ref="A4:H4"/>
    <mergeCell ref="A21:H21"/>
    <mergeCell ref="A38:H38"/>
    <mergeCell ref="A55:H55"/>
    <mergeCell ref="A72:H72"/>
    <mergeCell ref="A73:H73"/>
    <mergeCell ref="A74:H74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E75B1B7D-5728-4108-34BA-3871CF1F59D8}" mc:Ignorable="x14ac xr xr2 xr3">
  <dimension ref="A1:GR1000"/>
  <sheetViews>
    <sheetView topLeftCell="A1" workbookViewId="0">
      <selection activeCell="A1" sqref="A1:K1"/>
    </sheetView>
  </sheetViews>
  <sheetFormatPr defaultRowHeight="15" defaultColWidth="8.8515625" customHeight="1"/>
  <cols>
    <col min="1" max="1" width="21.421875" customWidth="1"/>
    <col min="2" max="2" width="14.28125" customWidth="1"/>
    <col min="3" max="3" width="11.421875" customWidth="1"/>
    <col min="4" max="4" width="14.28125" customWidth="1"/>
    <col min="5" max="5" width="11.421875" customWidth="1"/>
    <col min="6" max="11" width="14.28125" customWidth="1"/>
  </cols>
  <sheetData>
    <row r="1" ht="18.75" customHeight="1">
      <c r="A1" s="23" t="s">
        <v>67</v>
      </c>
    </row>
    <row r="2" ht="15" customHeight="1">
      <c r="A2" t="s">
        <v>6</v>
      </c>
      <c r="B2" t="str">
        <f>Dashboard!C8</f>
        <v>Snowball</v>
      </c>
    </row>
    <row r="3" ht="15" customHeight="1">
      <c r="A3" t="s">
        <v>68</v>
      </c>
      <c r="B3" s="13">
        <f>Dashboard!F9</f>
        <v>100</v>
      </c>
    </row>
    <row r="5" ht="15" customHeight="1">
      <c r="A5" s="29" t="s">
        <v>69</v>
      </c>
    </row>
    <row r="7" ht="15" customHeight="1">
      <c r="A7" s="30" t="s">
        <v>14</v>
      </c>
      <c r="B7" s="30" t="s">
        <v>15</v>
      </c>
      <c r="C7" s="30" t="s">
        <v>16</v>
      </c>
      <c r="D7" s="30" t="s">
        <v>70</v>
      </c>
      <c r="E7" s="30" t="s">
        <v>18</v>
      </c>
      <c r="F7" s="30" t="s">
        <v>71</v>
      </c>
      <c r="G7" s="30" t="s">
        <v>72</v>
      </c>
      <c r="H7" s="30" t="s">
        <v>73</v>
      </c>
      <c r="I7" s="30" t="s">
        <v>74</v>
      </c>
      <c r="J7" s="30" t="s">
        <v>75</v>
      </c>
      <c r="K7" s="30" t="s">
        <v>76</v>
      </c>
    </row>
    <row r="8" ht="15" customHeight="1">
      <c r="A8" t="str">
        <f>Cards!B2</f>
        <v>Chase Freedom</v>
      </c>
      <c r="B8" s="13">
        <f>Cards!D2</f>
        <v>2350</v>
      </c>
      <c r="C8" s="10">
        <f>Cards!E2</f>
        <v>0.1999</v>
      </c>
      <c r="D8" s="13">
        <f>Cards!G2</f>
        <v>50</v>
      </c>
      <c r="E8">
        <f>Cards!J2</f>
        <v>2</v>
      </c>
      <c r="F8" s="13">
        <f>MAX(0,B8+(B8*C8/12)-(D8+IF(E8=1,Dashboard!$F$9,0)))</f>
        <v>2339.14708333333</v>
      </c>
      <c r="G8" s="13">
        <f>MAX(0,F8+(F8*C8/12)-(D8+IF(E8=1,Dashboard!$F$9,0)))</f>
        <v>2328.11337516319</v>
      </c>
      <c r="H8" s="13">
        <f>MAX(0,G8+(G8*C8/12)-(D8+IF(E8=1,Dashboard!$F$9,0)))</f>
        <v>2316.89586380445</v>
      </c>
      <c r="I8" s="13">
        <f>MAX(0,H8+(H8*C8/12)-(D8+IF(E8=1,Dashboard!$F$9,0)))</f>
        <v>2305.49148740233</v>
      </c>
      <c r="J8" s="13">
        <f>MAX(0,I8+(I8*C8/12)-(D8+IF(E8=1,Dashboard!$F$9,0)))</f>
        <v>2293.89713309664</v>
      </c>
      <c r="K8" s="13">
        <f>MAX(0,J8+(J8*C8/12)-(D8+IF(E8=1,Dashboard!$F$9,0)))</f>
        <v>2282.10963617214</v>
      </c>
    </row>
    <row r="9" ht="15" customHeight="1">
      <c r="A9" t="str">
        <f>Cards!B3</f>
        <v>Capital One Quicksilver</v>
      </c>
      <c r="B9" s="13">
        <f>Cards!D3</f>
        <v>3800</v>
      </c>
      <c r="C9" s="10">
        <f>Cards!E3</f>
        <v>0.2449</v>
      </c>
      <c r="D9" s="13">
        <f>Cards!G3</f>
        <v>95</v>
      </c>
      <c r="E9">
        <f>Cards!J3</f>
        <v>3</v>
      </c>
      <c r="F9" s="13">
        <f>MAX(0,B9+(B9*C9/12)-(D9+IF(E9=1,Dashboard!$F$9,0)))</f>
        <v>3782.55166666667</v>
      </c>
      <c r="G9" s="13">
        <f>MAX(0,F9+(F9*C9/12)-(D9+IF(E9=1,Dashboard!$F$9,0)))</f>
        <v>3764.74724193056</v>
      </c>
      <c r="H9" s="13">
        <f>MAX(0,G9+(G9*C9/12)-(D9+IF(E9=1,Dashboard!$F$9,0)))</f>
        <v>3746.57945855963</v>
      </c>
      <c r="I9" s="13">
        <f>MAX(0,H9+(H9*C9/12)-(D9+IF(E9=1,Dashboard!$F$9,0)))</f>
        <v>3728.04090100973</v>
      </c>
      <c r="J9" s="13">
        <f>MAX(0,I9+(I9*C9/12)-(D9+IF(E9=1,Dashboard!$F$9,0)))</f>
        <v>3709.12400239784</v>
      </c>
      <c r="K9" s="13">
        <f>MAX(0,J9+(J9*C9/12)-(D9+IF(E9=1,Dashboard!$F$9,0)))</f>
        <v>3689.82104141344</v>
      </c>
    </row>
    <row r="10" ht="15" customHeight="1">
      <c r="A10" t="str">
        <f>Cards!B4</f>
        <v>Discover It</v>
      </c>
      <c r="B10" s="13">
        <f>Cards!D4</f>
        <v>1200</v>
      </c>
      <c r="C10" s="10">
        <f>Cards!E4</f>
        <v>0.1724</v>
      </c>
      <c r="D10" s="13">
        <f>Cards!G4</f>
        <v>35</v>
      </c>
      <c r="E10">
        <f>Cards!J4</f>
        <v>1</v>
      </c>
      <c r="F10" s="13">
        <f>MAX(0,B10+(B10*C10/12)-(D10+IF(E10=1,Dashboard!$F$9,0)))</f>
        <v>1082.24</v>
      </c>
      <c r="G10" s="13">
        <f>MAX(0,F10+(F10*C10/12)-(D10+IF(E10=1,Dashboard!$F$9,0)))</f>
        <v>962.788181333333</v>
      </c>
      <c r="H10" s="13">
        <f>MAX(0,G10+(G10*C10/12)-(D10+IF(E10=1,Dashboard!$F$9,0)))</f>
        <v>841.620238205155</v>
      </c>
      <c r="I10" s="13">
        <f>MAX(0,H10+(H10*C10/12)-(D10+IF(E10=1,Dashboard!$F$9,0)))</f>
        <v>718.711515627369</v>
      </c>
      <c r="J10" s="13">
        <f>MAX(0,I10+(I10*C10/12)-(D10+IF(E10=1,Dashboard!$F$9,0)))</f>
        <v>594.037004401882</v>
      </c>
      <c r="K10" s="13">
        <f>MAX(0,J10+(J10*C10/12)-(D10+IF(E10=1,Dashboard!$F$9,0)))</f>
        <v>467.571336031789</v>
      </c>
    </row>
    <row r="11" ht="15" customHeight="1">
      <c r="A11" t="str">
        <f>Cards!B5</f>
        <v>Citi Double Cash</v>
      </c>
      <c r="B11" s="13">
        <f>Cards!D5</f>
        <v>5900</v>
      </c>
      <c r="C11" s="10">
        <f>Cards!E5</f>
        <v>0.2174</v>
      </c>
      <c r="D11" s="13">
        <f>Cards!G5</f>
        <v>150</v>
      </c>
      <c r="E11">
        <f>Cards!J5</f>
        <v>4</v>
      </c>
      <c r="F11" s="13">
        <f>MAX(0,B11+(B11*C11/12)-(D11+IF(E11=1,Dashboard!$F$9,0)))</f>
        <v>5856.88833333333</v>
      </c>
      <c r="G11" s="13">
        <f>MAX(0,F11+(F11*C11/12)-(D11+IF(E11=1,Dashboard!$F$9,0)))</f>
        <v>5812.99562697222</v>
      </c>
      <c r="H11" s="13">
        <f>MAX(0,G11+(G11*C11/12)-(D11+IF(E11=1,Dashboard!$F$9,0)))</f>
        <v>5768.30773108087</v>
      </c>
      <c r="I11" s="13">
        <f>MAX(0,H11+(H11*C11/12)-(D11+IF(E11=1,Dashboard!$F$9,0)))</f>
        <v>5722.81023947562</v>
      </c>
      <c r="J11" s="13">
        <f>MAX(0,I11+(I11*C11/12)-(D11+IF(E11=1,Dashboard!$F$9,0)))</f>
        <v>5676.48848498079</v>
      </c>
      <c r="K11" s="13">
        <f>MAX(0,J11+(J11*C11/12)-(D11+IF(E11=1,Dashboard!$F$9,0)))</f>
        <v>5629.32753470036</v>
      </c>
    </row>
    <row r="12" ht="15" customHeight="1">
      <c r="A12" s="25" t="s">
        <v>77</v>
      </c>
      <c r="F12" s="13">
        <f t="shared" si="0" ref="F12:K12">SUM(F8:F11)</f>
        <v>13060.8270833333</v>
      </c>
      <c r="G12" s="13">
        <f t="shared" si="0"/>
        <v>12868.6444253993</v>
      </c>
      <c r="H12" s="13">
        <f t="shared" si="0"/>
        <v>12673.4032916501</v>
      </c>
      <c r="I12" s="13">
        <f t="shared" si="0"/>
        <v>12475.054143515</v>
      </c>
      <c r="J12" s="13">
        <f t="shared" si="0"/>
        <v>12273.5466248772</v>
      </c>
      <c r="K12" s="13">
        <f t="shared" si="0"/>
        <v>12068.8295483177</v>
      </c>
    </row>
    <row r="15" ht="15.75" customHeight="1">
      <c r="A15" s="31" t="s">
        <v>78</v>
      </c>
    </row>
    <row r="16" ht="15" customHeight="1">
      <c r="A16" s="30" t="s">
        <v>14</v>
      </c>
      <c r="B16" s="30" t="s">
        <v>70</v>
      </c>
      <c r="C16" s="30" t="s">
        <v>79</v>
      </c>
      <c r="D16" s="30" t="s">
        <v>80</v>
      </c>
      <c r="E16" s="30" t="s">
        <v>71</v>
      </c>
      <c r="F16" s="30" t="s">
        <v>72</v>
      </c>
      <c r="G16" s="30" t="s">
        <v>73</v>
      </c>
      <c r="H16" s="30" t="s">
        <v>74</v>
      </c>
      <c r="I16" s="30" t="s">
        <v>75</v>
      </c>
      <c r="J16" s="30" t="s">
        <v>76</v>
      </c>
    </row>
    <row r="17" ht="15" customHeight="1">
      <c r="A17" t="str">
        <f t="shared" si="1" ref="A17:A20">A8</f>
        <v>Chase Freedom</v>
      </c>
      <c r="B17" s="13">
        <f t="shared" si="2" ref="B17:B20">D8</f>
        <v>50</v>
      </c>
      <c r="C17" s="13">
        <f>IF(E8=1,Dashboard!$F$9,0)</f>
        <v>0</v>
      </c>
      <c r="D17" s="13">
        <f t="shared" si="3" ref="D17:D20">B17+C17</f>
        <v>50</v>
      </c>
      <c r="E17" s="13">
        <f t="shared" si="4" ref="E17:E20">D17</f>
        <v>50</v>
      </c>
      <c r="F17" s="13">
        <f t="shared" si="5" ref="F17:F20">D17</f>
        <v>50</v>
      </c>
      <c r="G17" s="13">
        <f t="shared" si="6" ref="G17:G20">D17</f>
        <v>50</v>
      </c>
      <c r="H17" s="13">
        <f t="shared" si="7" ref="H17:H20">D17</f>
        <v>50</v>
      </c>
      <c r="I17" s="13">
        <f t="shared" si="8" ref="I17:I20">D17</f>
        <v>50</v>
      </c>
      <c r="J17" s="13">
        <f t="shared" si="9" ref="J17:J20">D17</f>
        <v>50</v>
      </c>
    </row>
    <row r="18" ht="15" customHeight="1">
      <c r="A18" t="str">
        <f t="shared" si="1"/>
        <v>Capital One Quicksilver</v>
      </c>
      <c r="B18" s="13">
        <f t="shared" si="2"/>
        <v>95</v>
      </c>
      <c r="C18" s="13">
        <f>IF(E9=1,Dashboard!$F$9,0)</f>
        <v>0</v>
      </c>
      <c r="D18" s="13">
        <f t="shared" si="3"/>
        <v>95</v>
      </c>
      <c r="E18" s="13">
        <f t="shared" si="4"/>
        <v>95</v>
      </c>
      <c r="F18" s="13">
        <f t="shared" si="5"/>
        <v>95</v>
      </c>
      <c r="G18" s="13">
        <f t="shared" si="6"/>
        <v>95</v>
      </c>
      <c r="H18" s="13">
        <f t="shared" si="7"/>
        <v>95</v>
      </c>
      <c r="I18" s="13">
        <f t="shared" si="8"/>
        <v>95</v>
      </c>
      <c r="J18" s="13">
        <f t="shared" si="9"/>
        <v>95</v>
      </c>
    </row>
    <row r="19" ht="15" customHeight="1">
      <c r="A19" t="str">
        <f t="shared" si="1"/>
        <v>Discover It</v>
      </c>
      <c r="B19" s="13">
        <f t="shared" si="2"/>
        <v>35</v>
      </c>
      <c r="C19" s="13">
        <f>IF(E10=1,Dashboard!$F$9,0)</f>
        <v>100</v>
      </c>
      <c r="D19" s="13">
        <f t="shared" si="3"/>
        <v>135</v>
      </c>
      <c r="E19" s="13">
        <f t="shared" si="4"/>
        <v>135</v>
      </c>
      <c r="F19" s="13">
        <f t="shared" si="5"/>
        <v>135</v>
      </c>
      <c r="G19" s="13">
        <f t="shared" si="6"/>
        <v>135</v>
      </c>
      <c r="H19" s="13">
        <f t="shared" si="7"/>
        <v>135</v>
      </c>
      <c r="I19" s="13">
        <f t="shared" si="8"/>
        <v>135</v>
      </c>
      <c r="J19" s="13">
        <f t="shared" si="9"/>
        <v>135</v>
      </c>
    </row>
    <row r="20" ht="15" customHeight="1">
      <c r="A20" t="str">
        <f t="shared" si="1"/>
        <v>Citi Double Cash</v>
      </c>
      <c r="B20" s="13">
        <f t="shared" si="2"/>
        <v>150</v>
      </c>
      <c r="C20" s="13">
        <f>IF(E11=1,Dashboard!$F$9,0)</f>
        <v>0</v>
      </c>
      <c r="D20" s="13">
        <f t="shared" si="3"/>
        <v>150</v>
      </c>
      <c r="E20" s="13">
        <f t="shared" si="4"/>
        <v>150</v>
      </c>
      <c r="F20" s="13">
        <f t="shared" si="5"/>
        <v>150</v>
      </c>
      <c r="G20" s="13">
        <f t="shared" si="6"/>
        <v>150</v>
      </c>
      <c r="H20" s="13">
        <f t="shared" si="7"/>
        <v>150</v>
      </c>
      <c r="I20" s="13">
        <f t="shared" si="8"/>
        <v>150</v>
      </c>
      <c r="J20" s="13">
        <f t="shared" si="9"/>
        <v>150</v>
      </c>
    </row>
    <row r="21" ht="15" customHeight="1">
      <c r="A21" s="25" t="s">
        <v>77</v>
      </c>
      <c r="B21" s="13">
        <f t="shared" si="10" ref="B21:J21">SUM(B17:B20)</f>
        <v>330</v>
      </c>
      <c r="C21" s="13">
        <f t="shared" si="10"/>
        <v>100</v>
      </c>
      <c r="D21" s="13">
        <f t="shared" si="10"/>
        <v>430</v>
      </c>
      <c r="E21" s="13">
        <f t="shared" si="10"/>
        <v>430</v>
      </c>
      <c r="F21" s="13">
        <f t="shared" si="10"/>
        <v>430</v>
      </c>
      <c r="G21" s="13">
        <f t="shared" si="10"/>
        <v>430</v>
      </c>
      <c r="H21" s="13">
        <f t="shared" si="10"/>
        <v>430</v>
      </c>
      <c r="I21" s="13">
        <f t="shared" si="10"/>
        <v>430</v>
      </c>
      <c r="J21" s="13">
        <f t="shared" si="10"/>
        <v>430</v>
      </c>
    </row>
    <row r="25" ht="15" customHeight="1">
      <c r="A25" s="14" t="s">
        <v>36</v>
      </c>
    </row>
    <row r="26" ht="15" customHeight="1">
      <c r="A26" s="15" t="s">
        <v>37</v>
      </c>
    </row>
    <row r="27" ht="13.5" customHeight="1">
      <c r="A27" s="16" t="s">
        <v>38</v>
      </c>
    </row>
  </sheetData>
  <mergeCells>
    <mergeCell ref="A1:K1"/>
    <mergeCell ref="A5:K5"/>
    <mergeCell ref="A15:K15"/>
    <mergeCell ref="A25:K25"/>
    <mergeCell ref="A26:K26"/>
    <mergeCell ref="A27:K27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FA159DB8-88F8-FCE8-3CF2-78DD0C4DAF88}" mc:Ignorable="x14ac xr xr2 xr3">
  <dimension ref="A1:GR1000"/>
  <sheetViews>
    <sheetView topLeftCell="A1" workbookViewId="0">
      <selection activeCell="A1" sqref="A1:G1"/>
    </sheetView>
  </sheetViews>
  <sheetFormatPr defaultRowHeight="15" defaultColWidth="8.8515625" customHeight="1"/>
  <cols>
    <col min="1" max="1" width="53.140625" customWidth="1"/>
    <col min="2" max="2" width="13.28125" customWidth="1"/>
    <col min="3" max="3" width="14.140625" customWidth="1"/>
    <col min="4" max="4" width="11.421875" customWidth="1"/>
    <col min="5" max="5" width="11.00390625" customWidth="1"/>
    <col min="6" max="6" width="13.28125" customWidth="1"/>
  </cols>
  <sheetData>
    <row r="1" ht="18.75" customHeight="1">
      <c r="A1" s="23" t="s">
        <v>81</v>
      </c>
    </row>
    <row r="2" ht="15" customHeight="1">
      <c r="A2" s="32" t="s">
        <v>82</v>
      </c>
    </row>
    <row r="4" ht="15.75" customHeight="1">
      <c r="A4" s="33" t="s">
        <v>83</v>
      </c>
    </row>
    <row r="5" ht="15" customHeight="1">
      <c r="A5" s="25" t="s">
        <v>84</v>
      </c>
      <c r="B5" s="9">
        <f>SUM(Cards!D2:D5)</f>
        <v>13250</v>
      </c>
      <c r="C5" s="25" t="s">
        <v>6</v>
      </c>
      <c r="D5" s="34" t="str">
        <f>Dashboard!C8</f>
        <v>Snowball</v>
      </c>
    </row>
    <row r="6" ht="15" customHeight="1">
      <c r="A6" s="25" t="s">
        <v>85</v>
      </c>
      <c r="B6" s="9">
        <f>SUM(Cards!G2:G5)</f>
        <v>330</v>
      </c>
      <c r="C6" s="25" t="s">
        <v>86</v>
      </c>
      <c r="D6" s="9">
        <f>Dashboard!F9</f>
        <v>100</v>
      </c>
    </row>
    <row r="7" ht="15" customHeight="1">
      <c r="A7" s="25" t="s">
        <v>87</v>
      </c>
      <c r="B7" s="11">
        <f>MAX(Cards!P2:P5)</f>
        <v>92.4628907213674</v>
      </c>
      <c r="C7" s="25" t="s">
        <v>88</v>
      </c>
      <c r="D7" s="9">
        <f>SUMPRODUCT(Cards!M2:M5,Cards!P2:P5)</f>
        <v>18367.4623169286</v>
      </c>
    </row>
    <row r="10" ht="15.75" customHeight="1">
      <c r="A10" s="33" t="s">
        <v>89</v>
      </c>
    </row>
    <row r="11" ht="15" customHeight="1">
      <c r="A11" s="35" t="s">
        <v>9</v>
      </c>
      <c r="B11" s="35" t="s">
        <v>90</v>
      </c>
      <c r="C11" s="35" t="s">
        <v>91</v>
      </c>
      <c r="D11" s="35" t="s">
        <v>92</v>
      </c>
      <c r="E11" s="35" t="s">
        <v>93</v>
      </c>
      <c r="F11" s="35" t="s">
        <v>94</v>
      </c>
    </row>
    <row r="12" ht="15" customHeight="1">
      <c r="A12" s="9">
        <v>0</v>
      </c>
      <c r="B12" s="9">
        <f>SUM(Cards!G2:G5)+0</f>
        <v>330</v>
      </c>
      <c r="C12" s="11">
        <f>SUM(Cards!D2:D5)/(SUM(Cards!G2:G5)+0)</f>
        <v>40.1515151515151</v>
      </c>
      <c r="D12" s="9">
        <f>C12*AVERAGE(Cards!M2:M5)</f>
        <v>2417.39307133838</v>
      </c>
      <c r="E12" s="11">
        <f t="shared" si="0" ref="E12:E18">$C$12-C12</f>
        <v>0</v>
      </c>
      <c r="F12" s="9">
        <f t="shared" si="1" ref="F12:F18">$D$12-D12</f>
        <v>0</v>
      </c>
    </row>
    <row r="13" ht="15" customHeight="1">
      <c r="A13" s="9">
        <v>50</v>
      </c>
      <c r="B13" s="9">
        <f>SUM(Cards!G2:G5)+50</f>
        <v>380</v>
      </c>
      <c r="C13" s="11">
        <f>SUM(Cards!D2:D5)/(SUM(Cards!G2:G5)+50)</f>
        <v>34.8684210526316</v>
      </c>
      <c r="D13" s="9">
        <f>C13*AVERAGE(Cards!M2:M5)</f>
        <v>2099.31503563596</v>
      </c>
      <c r="E13" s="11">
        <f t="shared" si="0"/>
        <v>5.2830940988835</v>
      </c>
      <c r="F13" s="9">
        <f t="shared" si="1"/>
        <v>318.07803570242</v>
      </c>
    </row>
    <row r="14" ht="15" customHeight="1">
      <c r="A14" s="36">
        <v>100</v>
      </c>
      <c r="B14" s="36">
        <f>SUM(Cards!G2:G5)+100</f>
        <v>430</v>
      </c>
      <c r="C14" s="37">
        <f>SUM(Cards!D2:D5)/(SUM(Cards!G2:G5)+100)</f>
        <v>30.8139534883721</v>
      </c>
      <c r="D14" s="36">
        <f>C14*AVERAGE(Cards!M2:M5)</f>
        <v>1855.20863614341</v>
      </c>
      <c r="E14" s="37">
        <f t="shared" si="0"/>
        <v>9.337561663143</v>
      </c>
      <c r="F14" s="36">
        <f t="shared" si="1"/>
        <v>562.18443519497</v>
      </c>
    </row>
    <row r="15" ht="15" customHeight="1">
      <c r="A15" s="9">
        <v>150</v>
      </c>
      <c r="B15" s="9">
        <f>SUM(Cards!G2:G5)+150</f>
        <v>480</v>
      </c>
      <c r="C15" s="11">
        <f>SUM(Cards!D2:D5)/(SUM(Cards!G2:G5)+150)</f>
        <v>27.6041666666667</v>
      </c>
      <c r="D15" s="9">
        <f>C15*AVERAGE(Cards!M2:M5)</f>
        <v>1661.95773654514</v>
      </c>
      <c r="E15" s="11">
        <f t="shared" si="0"/>
        <v>12.5473484848484</v>
      </c>
      <c r="F15" s="9">
        <f t="shared" si="1"/>
        <v>755.43533479324</v>
      </c>
    </row>
    <row r="16" ht="15" customHeight="1">
      <c r="A16" s="9">
        <v>200</v>
      </c>
      <c r="B16" s="9">
        <f>SUM(Cards!G2:G5)+200</f>
        <v>530</v>
      </c>
      <c r="C16" s="11">
        <f>SUM(Cards!D2:D5)/(SUM(Cards!G2:G5)+200)</f>
        <v>25</v>
      </c>
      <c r="D16" s="9">
        <f>C16*AVERAGE(Cards!M2:M5)</f>
        <v>1505.16927083333</v>
      </c>
      <c r="E16" s="11">
        <f t="shared" si="0"/>
        <v>15.1515151515151</v>
      </c>
      <c r="F16" s="9">
        <f t="shared" si="1"/>
        <v>912.22380050505</v>
      </c>
    </row>
    <row r="17" ht="15" customHeight="1">
      <c r="A17" s="9">
        <v>300</v>
      </c>
      <c r="B17" s="9">
        <f>SUM(Cards!G2:G5)+300</f>
        <v>630</v>
      </c>
      <c r="C17" s="11">
        <f>SUM(Cards!D2:D5)/(SUM(Cards!G2:G5)+300)</f>
        <v>21.031746031746</v>
      </c>
      <c r="D17" s="9">
        <f>C17*AVERAGE(Cards!M2:M5)</f>
        <v>1266.2535135582</v>
      </c>
      <c r="E17" s="11">
        <f t="shared" si="0"/>
        <v>19.1197691197691</v>
      </c>
      <c r="F17" s="9">
        <f t="shared" si="1"/>
        <v>1151.13955778018</v>
      </c>
    </row>
    <row r="18" ht="15" customHeight="1">
      <c r="A18" s="9">
        <v>500</v>
      </c>
      <c r="B18" s="9">
        <f>SUM(Cards!G2:G5)+500</f>
        <v>830</v>
      </c>
      <c r="C18" s="11">
        <f>SUM(Cards!D2:D5)/(SUM(Cards!G2:G5)+500)</f>
        <v>15.9638554216867</v>
      </c>
      <c r="D18" s="9">
        <f>C18*AVERAGE(Cards!M2:M5)</f>
        <v>961.132184989956</v>
      </c>
      <c r="E18" s="11">
        <f t="shared" si="0"/>
        <v>24.1876597298284</v>
      </c>
      <c r="F18" s="9">
        <f t="shared" si="1"/>
        <v>1456.26088634842</v>
      </c>
    </row>
    <row r="22" ht="15.75" customHeight="1">
      <c r="A22" s="33" t="s">
        <v>95</v>
      </c>
    </row>
    <row r="23" ht="15" customHeight="1">
      <c r="A23" s="38" t="s">
        <v>96</v>
      </c>
      <c r="B23" s="39">
        <v>0</v>
      </c>
    </row>
    <row r="24" ht="15" customHeight="1">
      <c r="A24" s="25" t="s">
        <v>97</v>
      </c>
      <c r="B24" s="9">
        <f>SUM(Cards!G2:G5)+B23</f>
        <v>330</v>
      </c>
      <c r="C24" s="25" t="s">
        <v>87</v>
      </c>
      <c r="D24" s="11">
        <f>SUM(Cards!D2:D5)/(SUM(Cards!G2:G5)+B23)</f>
        <v>40.1515151515151</v>
      </c>
    </row>
    <row r="25" ht="15" customHeight="1">
      <c r="A25" s="25" t="s">
        <v>98</v>
      </c>
      <c r="B25" s="11">
        <f>$C$12-D24</f>
        <v>0</v>
      </c>
      <c r="C25" s="25" t="s">
        <v>99</v>
      </c>
      <c r="D25" s="9">
        <f>($D$12-(D24*AVERAGE(Cards!M2:M5)))</f>
        <v>0</v>
      </c>
    </row>
    <row r="27" ht="15.75" customHeight="1">
      <c r="A27" s="33" t="s">
        <v>100</v>
      </c>
    </row>
    <row r="28" ht="15" customHeight="1">
      <c r="A28" s="34" t="s">
        <v>101</v>
      </c>
      <c r="C28" s="11">
        <f>(C12-C13)</f>
        <v>5.2830940988835</v>
      </c>
      <c r="D28" s="34" t="s">
        <v>102</v>
      </c>
    </row>
    <row r="29" ht="15" customHeight="1">
      <c r="A29" s="34" t="s">
        <v>103</v>
      </c>
      <c r="E29" s="11">
        <f>(C14-C16)</f>
        <v>5.8139534883721</v>
      </c>
      <c r="F29" s="34" t="s">
        <v>102</v>
      </c>
    </row>
    <row r="30" ht="15" customHeight="1">
      <c r="A30" s="34" t="s">
        <v>104</v>
      </c>
      <c r="C30" s="9">
        <f>F18</f>
        <v>1456.26088634842</v>
      </c>
      <c r="D30" s="34" t="s">
        <v>105</v>
      </c>
    </row>
    <row r="33" ht="15" customHeight="1">
      <c r="A33" s="14" t="s">
        <v>36</v>
      </c>
    </row>
    <row r="34" ht="15" customHeight="1">
      <c r="A34" s="15" t="s">
        <v>37</v>
      </c>
    </row>
    <row r="35" ht="13.5" customHeight="1">
      <c r="A35" s="16" t="s">
        <v>38</v>
      </c>
    </row>
  </sheetData>
  <mergeCells>
    <mergeCell ref="A1:G1"/>
    <mergeCell ref="A4:G4"/>
    <mergeCell ref="A10:G10"/>
    <mergeCell ref="A22:G22"/>
    <mergeCell ref="A27:G27"/>
    <mergeCell ref="A33:F33"/>
    <mergeCell ref="A34:F34"/>
    <mergeCell ref="A35:F35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DA4F2A8-C5A8-78D8-36D8-4BABBD6E6535}" mc:Ignorable="x14ac xr xr2 xr3">
  <dimension ref="A1:GR1000"/>
  <sheetViews>
    <sheetView topLeftCell="A1" workbookViewId="0">
      <selection activeCell="A1" sqref="A1:G1"/>
    </sheetView>
  </sheetViews>
  <sheetFormatPr defaultRowHeight="15" defaultColWidth="8.8515625" customHeight="1"/>
  <cols>
    <col min="1" max="1" width="71.421875" customWidth="1"/>
    <col min="2" max="2" width="21.421875" customWidth="1"/>
    <col min="3" max="3" width="42.8515625" customWidth="1"/>
  </cols>
  <sheetData>
    <row r="1" ht="21" customHeight="1">
      <c r="A1" s="1" t="s">
        <v>106</v>
      </c>
    </row>
    <row r="2" ht="15.75" customHeight="1">
      <c r="A2" s="40" t="s">
        <v>107</v>
      </c>
    </row>
    <row r="4" ht="15" customHeight="1">
      <c r="A4" s="41" t="s">
        <v>108</v>
      </c>
    </row>
    <row r="5" ht="15" customHeight="1">
      <c r="A5" s="42" t="s">
        <v>109</v>
      </c>
    </row>
    <row r="6" ht="15" customHeight="1">
      <c r="A6" s="42" t="s">
        <v>110</v>
      </c>
    </row>
    <row r="7" ht="15" customHeight="1">
      <c r="A7" s="42" t="s">
        <v>111</v>
      </c>
    </row>
    <row r="8" ht="15" customHeight="1">
      <c r="A8" s="42" t="s">
        <v>112</v>
      </c>
    </row>
    <row r="9" ht="15" customHeight="1">
      <c r="A9" s="42" t="s">
        <v>113</v>
      </c>
    </row>
    <row r="10" ht="15" customHeight="1">
      <c r="A10" s="42" t="s">
        <v>114</v>
      </c>
    </row>
    <row r="11" ht="15" customHeight="1">
      <c r="A11" s="42" t="s">
        <v>115</v>
      </c>
    </row>
    <row r="12" ht="15" customHeight="1">
      <c r="A12" s="42" t="s">
        <v>116</v>
      </c>
    </row>
    <row r="13" ht="15" customHeight="1">
      <c r="A13" s="42"/>
    </row>
    <row r="14" ht="15" customHeight="1">
      <c r="A14" s="42" t="s">
        <v>117</v>
      </c>
    </row>
    <row r="17" ht="15" customHeight="1">
      <c r="A17" s="41" t="s">
        <v>118</v>
      </c>
    </row>
    <row r="18" ht="15" customHeight="1">
      <c r="A18" s="42" t="s">
        <v>119</v>
      </c>
    </row>
    <row r="19" ht="15" customHeight="1">
      <c r="A19" s="42" t="s">
        <v>120</v>
      </c>
    </row>
    <row r="20" ht="15" customHeight="1">
      <c r="A20" s="42" t="s">
        <v>121</v>
      </c>
    </row>
    <row r="21" ht="15" customHeight="1">
      <c r="A21" s="42" t="s">
        <v>122</v>
      </c>
    </row>
    <row r="22" ht="15" customHeight="1">
      <c r="A22" s="42" t="s">
        <v>123</v>
      </c>
    </row>
    <row r="23" ht="15" customHeight="1">
      <c r="A23" s="42" t="s">
        <v>124</v>
      </c>
    </row>
    <row r="30" ht="15" customHeight="1">
      <c r="A30" s="41" t="s">
        <v>125</v>
      </c>
    </row>
    <row r="31" ht="15" customHeight="1">
      <c r="A31" s="43" t="s">
        <v>126</v>
      </c>
      <c r="B31" s="43" t="s">
        <v>127</v>
      </c>
      <c r="C31" s="43" t="s">
        <v>128</v>
      </c>
    </row>
    <row r="32" ht="15" customHeight="1">
      <c r="A32" s="42" t="s">
        <v>129</v>
      </c>
      <c r="B32" s="42" t="s">
        <v>130</v>
      </c>
      <c r="C32" s="42" t="s">
        <v>131</v>
      </c>
    </row>
    <row r="33" ht="15" customHeight="1">
      <c r="A33" s="42" t="s">
        <v>132</v>
      </c>
      <c r="B33" s="42" t="s">
        <v>133</v>
      </c>
      <c r="C33" s="42" t="s">
        <v>134</v>
      </c>
    </row>
    <row r="34" ht="15" customHeight="1">
      <c r="A34" s="42" t="s">
        <v>135</v>
      </c>
      <c r="B34" s="42" t="s">
        <v>136</v>
      </c>
      <c r="C34" s="42" t="s">
        <v>137</v>
      </c>
    </row>
    <row r="35" ht="15" customHeight="1">
      <c r="A35" s="42" t="s">
        <v>138</v>
      </c>
      <c r="B35" s="42" t="s">
        <v>139</v>
      </c>
      <c r="C35" s="42" t="s">
        <v>140</v>
      </c>
    </row>
    <row r="36" ht="15" customHeight="1">
      <c r="A36" s="42" t="s">
        <v>141</v>
      </c>
      <c r="B36" s="42" t="s">
        <v>142</v>
      </c>
      <c r="C36" s="42" t="s">
        <v>143</v>
      </c>
    </row>
    <row r="37" ht="15" customHeight="1">
      <c r="A37" s="42" t="s">
        <v>144</v>
      </c>
      <c r="B37" s="42" t="s">
        <v>145</v>
      </c>
      <c r="C37" s="42" t="s">
        <v>146</v>
      </c>
    </row>
    <row r="38" ht="15" customHeight="1">
      <c r="A38" s="42" t="s">
        <v>147</v>
      </c>
      <c r="B38" s="42" t="s">
        <v>148</v>
      </c>
      <c r="C38" s="42" t="s">
        <v>149</v>
      </c>
    </row>
    <row r="44" ht="15" customHeight="1">
      <c r="A44" s="41" t="s">
        <v>150</v>
      </c>
    </row>
    <row r="45" ht="15" customHeight="1">
      <c r="A45" s="42" t="s">
        <v>151</v>
      </c>
    </row>
    <row r="46" ht="15" customHeight="1">
      <c r="A46" s="42" t="s">
        <v>152</v>
      </c>
    </row>
    <row r="47" ht="15" customHeight="1">
      <c r="A47" s="42" t="s">
        <v>153</v>
      </c>
    </row>
    <row r="48" ht="15" customHeight="1">
      <c r="A48" s="42" t="s">
        <v>154</v>
      </c>
    </row>
    <row r="49" ht="15" customHeight="1">
      <c r="A49" s="42" t="s">
        <v>155</v>
      </c>
    </row>
    <row r="50" ht="15" customHeight="1">
      <c r="A50" s="42" t="s">
        <v>156</v>
      </c>
    </row>
    <row r="54" ht="15" customHeight="1">
      <c r="A54" s="41" t="s">
        <v>157</v>
      </c>
    </row>
    <row r="55" ht="15" customHeight="1">
      <c r="A55" s="42" t="s">
        <v>158</v>
      </c>
    </row>
    <row r="56" ht="15" customHeight="1">
      <c r="A56" s="42"/>
    </row>
    <row r="57" ht="15" customHeight="1">
      <c r="A57" s="42" t="s">
        <v>159</v>
      </c>
    </row>
    <row r="58" ht="15" customHeight="1">
      <c r="A58" s="42" t="s">
        <v>160</v>
      </c>
    </row>
    <row r="59" ht="15" customHeight="1">
      <c r="A59" s="42" t="s">
        <v>161</v>
      </c>
    </row>
    <row r="60" ht="15" customHeight="1">
      <c r="A60" s="42" t="s">
        <v>162</v>
      </c>
    </row>
    <row r="61" ht="15" customHeight="1">
      <c r="A61" s="42"/>
    </row>
    <row r="62" ht="15" customHeight="1">
      <c r="A62" s="42" t="s">
        <v>163</v>
      </c>
    </row>
    <row r="64" ht="15" customHeight="1">
      <c r="A64" s="41" t="s">
        <v>164</v>
      </c>
    </row>
    <row r="65" ht="15" customHeight="1">
      <c r="A65" s="42" t="s">
        <v>165</v>
      </c>
    </row>
    <row r="66" ht="15" customHeight="1">
      <c r="A66" s="42" t="s">
        <v>166</v>
      </c>
    </row>
    <row r="67" ht="15" customHeight="1">
      <c r="A67" s="42" t="s">
        <v>167</v>
      </c>
    </row>
    <row r="68" ht="15" customHeight="1">
      <c r="A68" s="42" t="s">
        <v>168</v>
      </c>
    </row>
    <row r="69" ht="15" customHeight="1">
      <c r="A69" s="42" t="s">
        <v>169</v>
      </c>
    </row>
    <row r="70" ht="15" customHeight="1">
      <c r="A70" s="42" t="s">
        <v>170</v>
      </c>
    </row>
    <row r="75" ht="15" customHeight="1">
      <c r="A75" s="44"/>
    </row>
    <row r="76" ht="15" customHeight="1">
      <c r="A76" s="45" t="s">
        <v>36</v>
      </c>
    </row>
    <row r="78" ht="15" customHeight="1">
      <c r="A78" s="46" t="s">
        <v>37</v>
      </c>
    </row>
    <row r="79" ht="15" customHeight="1">
      <c r="A79" s="47" t="s">
        <v>38</v>
      </c>
    </row>
  </sheetData>
  <mergeCells>
    <mergeCell ref="A1:G1"/>
    <mergeCell ref="A2:G2"/>
    <mergeCell ref="A4:G4"/>
    <mergeCell ref="A5:G5"/>
    <mergeCell ref="A6:G6"/>
    <mergeCell ref="A7:G7"/>
    <mergeCell ref="A8:G8"/>
    <mergeCell ref="A9:G9"/>
    <mergeCell ref="A10:G10"/>
    <mergeCell ref="A11:G11"/>
    <mergeCell ref="A12:G12"/>
    <mergeCell ref="A13:G13"/>
    <mergeCell ref="A14:G14"/>
    <mergeCell ref="A17:G17"/>
    <mergeCell ref="A18:G18"/>
    <mergeCell ref="A19:G19"/>
    <mergeCell ref="A20:G20"/>
    <mergeCell ref="A21:G21"/>
    <mergeCell ref="A22:G22"/>
    <mergeCell ref="A23:G23"/>
    <mergeCell ref="A30:G30"/>
    <mergeCell ref="A44:G44"/>
    <mergeCell ref="A45:G45"/>
    <mergeCell ref="A46:G46"/>
    <mergeCell ref="A47:G47"/>
    <mergeCell ref="A48:G48"/>
    <mergeCell ref="A49:G49"/>
    <mergeCell ref="A50:G50"/>
    <mergeCell ref="A54:G54"/>
    <mergeCell ref="A55:G55"/>
    <mergeCell ref="A56:G56"/>
    <mergeCell ref="A57:G57"/>
    <mergeCell ref="A58:G58"/>
    <mergeCell ref="A59:G59"/>
    <mergeCell ref="A60:G60"/>
    <mergeCell ref="A61:G61"/>
    <mergeCell ref="A62:G62"/>
    <mergeCell ref="A64:G64"/>
    <mergeCell ref="A65:G65"/>
    <mergeCell ref="A66:G66"/>
    <mergeCell ref="A67:G67"/>
    <mergeCell ref="A68:G68"/>
    <mergeCell ref="A69:G69"/>
    <mergeCell ref="A70:G70"/>
    <mergeCell ref="A75:G75"/>
    <mergeCell ref="A76:G76"/>
    <mergeCell ref="A77:G77"/>
    <mergeCell ref="A78:G78"/>
    <mergeCell ref="A79:G79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2025-12-23T07:04:08Z</dcterms:created>
</cp:coreProperties>
</file>