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g"/>
  <Default Extension="tiff" ContentType="image/tiff"/>
  <Default Extension="jpeg" ContentType="image/jpeg"/>
  <Default Extension="png" ContentType="image/png"/>
  <Default Extension="bmp" ContentType="image/bmp"/>
  <Default Extension="gif" ContentType="image/gif"/>
  <Default Extension="svg" ContentType="image/svg+xml"/>
  <Default Extension="emf" ContentType="image/x-emf"/>
  <Default Extension="wmf" ContentType="image/x-wmf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/xl/workbook.xml"/><Relationship Id="rId2" Type="http://schemas.openxmlformats.org/package/2006/relationships/metadata/core-properties" Target="/docProps/core.xml"/><Relationship Id="rId3" Type="http://schemas.openxmlformats.org/officeDocument/2006/relationships/extended-properties" Target="/docProps/app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1" tabRatio="919.2577733199599"/>
  </bookViews>
  <sheets>
    <sheet r:id="rId1" name="Dashboard" sheetId="1"/>
    <sheet r:id="rId2" name="Payments" sheetId="2"/>
    <sheet r:id="rId3" name="Amortization" sheetId="3"/>
    <sheet r:id="rId4" name="Payment Planner" sheetId="4"/>
    <sheet r:id="rId5" name="Printable Log" sheetId="5"/>
    <sheet r:id="rId6" name="Settings" sheetId="6"/>
    <sheet r:id="rId7" name="Instructions &amp; FAQ" sheetId="7"/>
  </sheets>
  <calcPr calcId="0" iterate="1" iterateCount="1000" iterateDelta="0.01"/>
</workbook>
</file>

<file path=xl/sharedStrings.xml><?xml version="1.0" encoding="utf-8"?>
<sst xmlns="http://schemas.openxmlformats.org/spreadsheetml/2006/main" count="262" uniqueCount="262">
  <si>
    <t>CREDIT CARD PAYMENT DASHBOARD</t>
  </si>
  <si>
    <t>Overview of all cards, balances, and payment tracking</t>
  </si>
  <si>
    <t>TOTAL BALANCE</t>
  </si>
  <si>
    <t>ACTIVE CARDS</t>
  </si>
  <si>
    <t>PAYMENTS THIS MONTH</t>
  </si>
  <si>
    <t>DUE NEXT 30 DAYS</t>
  </si>
  <si>
    <t>CARD SUMMARY</t>
  </si>
  <si>
    <t>Card Name</t>
  </si>
  <si>
    <t>Bank</t>
  </si>
  <si>
    <t>Balance</t>
  </si>
  <si>
    <t>Credit Limit</t>
  </si>
  <si>
    <t>Utilization %</t>
  </si>
  <si>
    <t>Interest Rate</t>
  </si>
  <si>
    <t>Chase Sapphire Reserve</t>
  </si>
  <si>
    <t>Chase Bank</t>
  </si>
  <si>
    <t>Capital One Venture</t>
  </si>
  <si>
    <t>Capital One</t>
  </si>
  <si>
    <t>Citi Double Cash</t>
  </si>
  <si>
    <t>Citibank</t>
  </si>
  <si>
    <t/>
  </si>
  <si>
    <t>VISUAL ANALYTICS</t>
  </si>
  <si>
    <t>Month</t>
  </si>
  <si>
    <t>Total Payments</t>
  </si>
  <si>
    <t>Total Interest</t>
  </si>
  <si>
    <t>Net Change</t>
  </si>
  <si>
    <t>Card</t>
  </si>
  <si>
    <t>Jan 2025</t>
  </si>
  <si>
    <t>Feb 2025</t>
  </si>
  <si>
    <t>Mar 2025</t>
  </si>
  <si>
    <t>Apr 2025</t>
  </si>
  <si>
    <t>May 2025</t>
  </si>
  <si>
    <t>Jun 2025</t>
  </si>
  <si>
    <t>Jul 2025</t>
  </si>
  <si>
    <t>Aug 2025</t>
  </si>
  <si>
    <t>Sep 2025</t>
  </si>
  <si>
    <t>Oct 2025</t>
  </si>
  <si>
    <t>Nov 2025</t>
  </si>
  <si>
    <t>Dec 2025</t>
  </si>
  <si>
    <t>QUICK ACTIONS</t>
  </si>
  <si>
    <t>• Go to Payments Sheet</t>
  </si>
  <si>
    <t>• View Payment Planner</t>
  </si>
  <si>
    <t>• Print Payment Log</t>
  </si>
  <si>
    <t>• Edit Card Settings</t>
  </si>
  <si>
    <t>• Calculate Amortization</t>
  </si>
  <si>
    <t>• Read Instructions</t>
  </si>
  <si>
    <t>NOTES:</t>
  </si>
  <si>
    <t>• Dashboard auto-updates when you add cards or record payments</t>
  </si>
  <si>
    <t>• Charts require sample data to display - add cards in Settings and payments in Payments sheet</t>
  </si>
  <si>
    <t>• VBA macros (Export PDF, Archive) require Excel desktop version with macros enabled</t>
  </si>
  <si>
    <t>• For best results, use Excel 2016 or later</t>
  </si>
  <si>
    <t>Payment ID</t>
  </si>
  <si>
    <t>Date</t>
  </si>
  <si>
    <t>Card ID</t>
  </si>
  <si>
    <t>Type</t>
  </si>
  <si>
    <t>Category</t>
  </si>
  <si>
    <t>Description</t>
  </si>
  <si>
    <t>Amount</t>
  </si>
  <si>
    <t>Balance After</t>
  </si>
  <si>
    <t>Running Balance</t>
  </si>
  <si>
    <t>Payment Method</t>
  </si>
  <si>
    <t>Receipt URL/File</t>
  </si>
  <si>
    <t>Notes</t>
  </si>
  <si>
    <t>2025-11-05</t>
  </si>
  <si>
    <t>Purchase</t>
  </si>
  <si>
    <t>Groceries</t>
  </si>
  <si>
    <t>Walmart purchase</t>
  </si>
  <si>
    <t>2025-11-08</t>
  </si>
  <si>
    <t>Gas</t>
  </si>
  <si>
    <t>Shell gas station</t>
  </si>
  <si>
    <t>2025-11-12</t>
  </si>
  <si>
    <t>Payment</t>
  </si>
  <si>
    <t>Monthly payment</t>
  </si>
  <si>
    <t>Bank Transfer</t>
  </si>
  <si>
    <t>2025-11-18</t>
  </si>
  <si>
    <t>Dining</t>
  </si>
  <si>
    <t>Restaurant dinner</t>
  </si>
  <si>
    <t>2025-11-22</t>
  </si>
  <si>
    <t>Online payment</t>
  </si>
  <si>
    <t>Auto</t>
  </si>
  <si>
    <t>2025-12-01</t>
  </si>
  <si>
    <t>Shopping</t>
  </si>
  <si>
    <t>Amazon order</t>
  </si>
  <si>
    <t>2025-12-05</t>
  </si>
  <si>
    <t>2025-12-08</t>
  </si>
  <si>
    <t>Utilities</t>
  </si>
  <si>
    <t>Electric bill</t>
  </si>
  <si>
    <t>2025-12-12</t>
  </si>
  <si>
    <t>Interest</t>
  </si>
  <si>
    <t>Interest charge</t>
  </si>
  <si>
    <t>2025-12-15</t>
  </si>
  <si>
    <t>Gas station</t>
  </si>
  <si>
    <t>2025-12-18</t>
  </si>
  <si>
    <t>2025-12-20</t>
  </si>
  <si>
    <t>CREDIT CARD AMORTIZATION CALCULATOR</t>
  </si>
  <si>
    <t>Calculate payoff schedule and interest breakdown</t>
  </si>
  <si>
    <t>INPUT PARAMETERS</t>
  </si>
  <si>
    <t>Card ID:</t>
  </si>
  <si>
    <t>PAYOFF SUMMARY</t>
  </si>
  <si>
    <t>Card Name:</t>
  </si>
  <si>
    <t>Principal (Start Balance):</t>
  </si>
  <si>
    <t>Total Months to Payoff:</t>
  </si>
  <si>
    <t>Annual Interest Rate (%):</t>
  </si>
  <si>
    <t>Total Interest Paid:</t>
  </si>
  <si>
    <t>Monthly Payment ($):</t>
  </si>
  <si>
    <t>Total Amount Paid:</t>
  </si>
  <si>
    <t>Start Date:</t>
  </si>
  <si>
    <t>Principal Amount:</t>
  </si>
  <si>
    <t>Payment Mode:</t>
  </si>
  <si>
    <t>Fixed Payment</t>
  </si>
  <si>
    <t>AMORTIZATION SCHEDULE</t>
  </si>
  <si>
    <t>Payment #</t>
  </si>
  <si>
    <t>Payment Date</t>
  </si>
  <si>
    <t>Payment Amount</t>
  </si>
  <si>
    <t>Interest Portion</t>
  </si>
  <si>
    <t>Principal Portion</t>
  </si>
  <si>
    <t>Remaining Balance</t>
  </si>
  <si>
    <t>INSTRUCTIONS:</t>
  </si>
  <si>
    <t>1. Enter a Card ID in cell B7 (the card details will auto-populate from Settings sheet)</t>
  </si>
  <si>
    <t>2. Enter your desired Monthly Payment amount in cell B11</t>
  </si>
  <si>
    <t>3. Enter the Start Date in cell B12 (format: DD-MM-YYYY)</t>
  </si>
  <si>
    <t>4. The amortization schedule will automatically calculate showing payment breakdown and payoff timeline</t>
  </si>
  <si>
    <t>PAYMENT PLANNER - 12 MONTH SCHEDULE</t>
  </si>
  <si>
    <t>Upcoming billing dates and payment requirements for all active cards</t>
  </si>
  <si>
    <t>Due Date</t>
  </si>
  <si>
    <t>Statement Balance</t>
  </si>
  <si>
    <t>Min Payment Due</t>
  </si>
  <si>
    <t>Suggested Payment</t>
  </si>
  <si>
    <t>Auto-Pay?</t>
  </si>
  <si>
    <t>PAYMENT SUMMARY - NEXT 30 DAYS</t>
  </si>
  <si>
    <t>Total Due in Next 30 Days:</t>
  </si>
  <si>
    <t>Number of Cards Due:</t>
  </si>
  <si>
    <t>Auto-Pay Cards:</t>
  </si>
  <si>
    <t>• This schedule shows the next 12 months of billing dates for all cards entered in the Settings sheet</t>
  </si>
  <si>
    <t>• Due dates are calculated based on each card's Billing Cycle Day</t>
  </si>
  <si>
    <t>• Minimum payments are calculated according to each card's Min Payment Rule</t>
  </si>
  <si>
    <t>• Suggested payments are 1.5x the minimum (customize column E as needed)</t>
  </si>
  <si>
    <t>• Enter YES/NO in Auto-Pay column (F) to track which cards have automatic payments enabled</t>
  </si>
  <si>
    <t>CREDIT CARD PAYMENT LOG</t>
  </si>
  <si>
    <t>Card:</t>
  </si>
  <si>
    <t>Period:</t>
  </si>
  <si>
    <t>30-12-1899 to 30-12-1899</t>
  </si>
  <si>
    <t>Generated on:</t>
  </si>
  <si>
    <t>25-12-2025</t>
  </si>
  <si>
    <t>Method</t>
  </si>
  <si>
    <t>DISCLAIMER</t>
  </si>
  <si>
    <t>For personal tracking only. Not financial advice.</t>
  </si>
  <si>
    <t>Free Credit Card Tracker by Credit Card Wind</t>
  </si>
  <si>
    <t>© Credit Card Wind. All rights reserved.</t>
  </si>
  <si>
    <t>________________________________________________</t>
  </si>
  <si>
    <t>GLOBAL SETTINGS</t>
  </si>
  <si>
    <t>Setting</t>
  </si>
  <si>
    <t>Value</t>
  </si>
  <si>
    <t>Currency</t>
  </si>
  <si>
    <t>$</t>
  </si>
  <si>
    <t>Date Format</t>
  </si>
  <si>
    <t>DD-MM-YYYY</t>
  </si>
  <si>
    <t>Default Interest Rate (%)</t>
  </si>
  <si>
    <t>Default Minimum Payment (%)</t>
  </si>
  <si>
    <t>Rounding (Decimals)</t>
  </si>
  <si>
    <t>CREDIT CARDS</t>
  </si>
  <si>
    <t>Start Balance</t>
  </si>
  <si>
    <t>Interest Rate (APR %)</t>
  </si>
  <si>
    <t>Billing Cycle Day</t>
  </si>
  <si>
    <t>Min Payment Rule</t>
  </si>
  <si>
    <t>DATA VALIDATION RULES:</t>
  </si>
  <si>
    <t>• Card ID must be unique and auto-incremented</t>
  </si>
  <si>
    <t>• Credit Limit and Start Balance must be positive numbers</t>
  </si>
  <si>
    <t>• Interest Rate must be between 0 and 100</t>
  </si>
  <si>
    <t>• Billing Cycle Day must be between 1 and 31</t>
  </si>
  <si>
    <t>• Min Payment Rule: Enter % (e.g., 2) or fixed $ amount (e.g., $25)</t>
  </si>
  <si>
    <t>INSTRUCTIONS &amp; USER GUIDE</t>
  </si>
  <si>
    <t>Complete guide to using your Credit Card Payment Tracker</t>
  </si>
  <si>
    <t>QUICK START GUIDE</t>
  </si>
  <si>
    <t>Step 1: Set Up Your Cards</t>
  </si>
  <si>
    <t>1. Go to the Settings sheet</t>
  </si>
  <si>
    <t>2. In the CREDIT CARDS table (starting row 13), enter your card details:</t>
  </si>
  <si>
    <t xml:space="preserve">   • Card ID: Use sequential numbers (1, 2, 3, etc.)</t>
  </si>
  <si>
    <t xml:space="preserve">   • Card Name: Give each card a memorable name (e.g., 'Chase Sapphire')</t>
  </si>
  <si>
    <t xml:space="preserve">   • Bank: Enter the issuing bank name</t>
  </si>
  <si>
    <t xml:space="preserve">   • Credit Limit: Your maximum credit line</t>
  </si>
  <si>
    <t xml:space="preserve">   • Start Balance: Your current balance when starting to track</t>
  </si>
  <si>
    <t xml:space="preserve">   • Interest Rate (APR %): Annual percentage rate (e.g., 18.99)</t>
  </si>
  <si>
    <t xml:space="preserve">   • Billing Cycle Day: Day of month your bill is due (1-31)</t>
  </si>
  <si>
    <t xml:space="preserve">   • Min Payment Rule: Enter percentage (e.g., 2) or fixed amount with $ (e.g., $25)</t>
  </si>
  <si>
    <t>Step 2: Record Payments and Transactions</t>
  </si>
  <si>
    <t>1. Go to the Payments sheet</t>
  </si>
  <si>
    <t>2. For each transaction, enter:</t>
  </si>
  <si>
    <t xml:space="preserve">   • Date: Transaction date</t>
  </si>
  <si>
    <t xml:space="preserve">   • Card ID: Select from dropdown (matches Settings sheet)</t>
  </si>
  <si>
    <t xml:space="preserve">   • Type: Choose Payment, Purchase, Refund, Fee, or Interest</t>
  </si>
  <si>
    <t xml:space="preserve">   • Category: Optional grouping (e.g., 'Groceries', 'Utilities')</t>
  </si>
  <si>
    <t xml:space="preserve">   • Description: Brief note about the transaction</t>
  </si>
  <si>
    <t xml:space="preserve">   • Amount: Positive for payments/refunds, negative for purchases/charges</t>
  </si>
  <si>
    <t xml:space="preserve">   • Payment Method: How you paid (Auto, Manual, Bank Transfer, Card)</t>
  </si>
  <si>
    <t>3. Payment ID, Card Name, and Running Balance auto-calculate</t>
  </si>
  <si>
    <t>SHEET DESCRIPTIONS</t>
  </si>
  <si>
    <t>Dashboard</t>
  </si>
  <si>
    <t>• Your main overview with key metrics and summaries</t>
  </si>
  <si>
    <t>• Shows total balance, active cards, payments this month, and upcoming due amounts</t>
  </si>
  <si>
    <t>• Includes card summary table and quick navigation links</t>
  </si>
  <si>
    <t>Payments</t>
  </si>
  <si>
    <t>• Complete transaction log for all credit card activities</t>
  </si>
  <si>
    <t>• Auto-calculates running balances per card</t>
  </si>
  <si>
    <t>• Supports 100 transaction entries (expandable)</t>
  </si>
  <si>
    <t>Amortization</t>
  </si>
  <si>
    <t>• Calculate how long it will take to pay off a card balance</t>
  </si>
  <si>
    <t>• Enter Card ID, Monthly Payment, and Start Date</t>
  </si>
  <si>
    <t>• Shows payment breakdown (interest vs. principal) and payoff timeline</t>
  </si>
  <si>
    <t>Payment Planner</t>
  </si>
  <si>
    <t>• 12-month calendar of upcoming billing dates and payment requirements</t>
  </si>
  <si>
    <t>• Auto-calculates minimum payments based on card rules</t>
  </si>
  <si>
    <t>• Track which cards have auto-pay enabled</t>
  </si>
  <si>
    <t>Printable Log</t>
  </si>
  <si>
    <t>• Clean, print-friendly view of your last 20 transactions</t>
  </si>
  <si>
    <t>• Optimized for A4/Letter paper printing</t>
  </si>
  <si>
    <t>• Includes disclaimer and copyright footer</t>
  </si>
  <si>
    <t>Settings</t>
  </si>
  <si>
    <t>• Configure global options (currency, date format, defaults)</t>
  </si>
  <si>
    <t>• Define all your credit cards and their details</t>
  </si>
  <si>
    <t>• Central data source for all other sheets</t>
  </si>
  <si>
    <t>FREQUENTLY ASKED QUESTIONS</t>
  </si>
  <si>
    <t>Q: How do I add a new credit card?</t>
  </si>
  <si>
    <t>A: Go to Settings sheet, find the next empty row in the CREDIT CARDS table (rows 13-32), and enter all card details. Use the next sequential Card ID number.</t>
  </si>
  <si>
    <t>Q: What does 'Running Balance' mean?</t>
  </si>
  <si>
    <t>A: Running Balance shows your current balance for each card after each transaction. It starts with the 'Start Balance' from Settings and adjusts with every payment (positive) or charge (negative).</t>
  </si>
  <si>
    <t>Q: How do I record a payment vs. a purchase?</t>
  </si>
  <si>
    <t>A: In the Payments sheet, use the 'Type' column dropdown. For payments made TO the card, select 'Payment' and enter a positive amount. For charges/purchases ON the card, select 'Purchase' and enter a negative amount (or positive with note in description).</t>
  </si>
  <si>
    <t>Q: Why do I see #VALUE! errors in Amortization?</t>
  </si>
  <si>
    <t>A: The Amortization calculator requires three inputs: Card ID (B7), Monthly Payment (B11), and Start Date (B12). Enter all three values to activate the calculation.</t>
  </si>
  <si>
    <t>Q: Can I use this for multiple cards?</t>
  </si>
  <si>
    <t>A: Yes! You can track up to 20 cards. Each card should have a unique Card ID in the Settings sheet, and you can record transactions for any card in the Payments sheet.</t>
  </si>
  <si>
    <t>Q: How do I export the Printable Log?</t>
  </si>
  <si>
    <t>A: The Printable Log sheet is print-ready. In Excel desktop, you can use File &gt; Print. VBA macros (mentioned in original requirements) require Excel with macros enabled and are not included in this web version.</t>
  </si>
  <si>
    <t>Q: What's the difference between 'Balance After' and 'Running Balance'?</t>
  </si>
  <si>
    <t>A: They are the same value - both show the card balance after each transaction. The duplication ensures data visibility in both columns I and J.</t>
  </si>
  <si>
    <t>Q: Can I customize the minimum payment calculation?</t>
  </si>
  <si>
    <t>A: Yes! In Settings sheet, the 'Min Payment Rule' column allows you to enter either a percentage (e.g., '2' for 2%) or a fixed dollar amount (e.g., '$25'). The Payment Planner uses MAX(25, balance × percentage) by default.</t>
  </si>
  <si>
    <t>Q: How do I track interest charges?</t>
  </si>
  <si>
    <t>A: In the Payments sheet, add a new transaction with Type = 'Interest' and enter the interest amount as a negative value (since it increases your balance owed).</t>
  </si>
  <si>
    <t>TIPS &amp; BEST PRACTICES</t>
  </si>
  <si>
    <t>✓ Update regularly: Record transactions promptly for accurate tracking</t>
  </si>
  <si>
    <t>✓ Use consistent Card IDs: Don't change Card ID numbers once assigned</t>
  </si>
  <si>
    <t>✓ Check running balances: Verify they match your actual card statements</t>
  </si>
  <si>
    <t>✓ Set billing reminders: Use the Payment Planner's due dates to avoid late fees</t>
  </si>
  <si>
    <t>✓ Review Dashboard monthly: Monitor your total debt and payment progress</t>
  </si>
  <si>
    <t>✓ Use Amortization tool: Plan payoff strategies and see interest savings</t>
  </si>
  <si>
    <t>✓ Back up your file: Save copies regularly to prevent data loss</t>
  </si>
  <si>
    <t>✓ Customize categories: Use the Category column in Payments to organize spending</t>
  </si>
  <si>
    <t>✓ Track receipts: Use the 'Receipt URL/File' column for digital receipt links</t>
  </si>
  <si>
    <t>TROUBLESHOOTING</t>
  </si>
  <si>
    <t>Problem: Card Name not appearing in Payments sheet</t>
  </si>
  <si>
    <t>Solution: Check that Card ID in Payments matches a Card ID in Settings (column A, rows 13-32)</t>
  </si>
  <si>
    <t>Problem: Running Balance seems incorrect</t>
  </si>
  <si>
    <t>Solution: Verify 'Start Balance' in Settings is accurate. Check that payment amounts are positive and purchase amounts are negative.</t>
  </si>
  <si>
    <t>Problem: Payment Planner shows no due dates</t>
  </si>
  <si>
    <t>Solution: Ensure cards are entered in Settings with valid Billing Cycle Day (1-31)</t>
  </si>
  <si>
    <t>Problem: Dashboard shows zero for all metrics</t>
  </si>
  <si>
    <t>Solution: Add at least one card in Settings and record some transactions in Payments</t>
  </si>
  <si>
    <t>VERSION &amp; SUPPORT</t>
  </si>
  <si>
    <t>Template Version: 1.0</t>
  </si>
  <si>
    <t>Created: December 2025</t>
  </si>
  <si>
    <t>Compatible with: Excel 2016 or later, Excel Online, Google Sheets (with limitations)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</si>
</sst>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526" formatCode="_(* #,##0.00_);_(* (#,##0.00);_(* &quot;-&quot;??_);_(@_)"/>
    <numFmt numFmtId="1528" formatCode="0.0"/>
    <numFmt numFmtId="1594" formatCode="dd-mm-yyyy"/>
    <numFmt numFmtId="1595" formatCode="$#,##0.00"/>
  </numFmts>
  <fonts count="23">
    <font>
      <sz val="11"/>
      <color theme="1"/>
      <name val="Calibri"/>
      <scheme val="minor"/>
    </font>
    <font>
      <b/>
      <i val="0"/>
      <sz val="20"/>
      <color rgb="FFFFFFFF"/>
      <name val="Aptos Narrow"/>
    </font>
    <font>
      <b val="0"/>
      <i/>
      <sz val="12"/>
      <name val="Aptos Narrow"/>
    </font>
    <font>
      <b/>
      <i val="0"/>
      <sz val="14"/>
      <color rgb="FFFFFFFF"/>
      <name val="Aptos Narrow"/>
    </font>
    <font>
      <name val="Calibri"/>
      <scheme val="minor"/>
    </font>
    <font>
      <b val="0"/>
      <i val="0"/>
      <sz val="18"/>
      <name val="Aptos Narrow"/>
    </font>
    <font>
      <b/>
      <i val="0"/>
      <sz val="14"/>
      <name val="Aptos Narrow"/>
    </font>
    <font>
      <b/>
      <i val="0"/>
      <sz val="11"/>
      <color rgb="FFFFFFFF"/>
      <name val="Aptos Narrow"/>
    </font>
    <font>
      <b val="0"/>
      <i val="0"/>
      <sz val="11"/>
      <color rgb="FF0000FF"/>
      <name val="Aptos Narrow"/>
    </font>
    <font>
      <b/>
      <i val="0"/>
      <sz val="10"/>
      <name val="Aptos Narrow"/>
    </font>
    <font>
      <b val="0"/>
      <i/>
      <sz val="10"/>
      <name val="Aptos Narrow"/>
    </font>
    <font>
      <b/>
      <i val="0"/>
      <sz val="11"/>
      <color rgb="FFFFFFFF"/>
      <name val="Aptos Narrow"/>
    </font>
    <font>
      <b/>
      <i val="0"/>
      <sz val="16"/>
      <color rgb="FFFFFFFF"/>
      <name val="Aptos Narrow"/>
    </font>
    <font>
      <b val="0"/>
      <i/>
      <sz val="11"/>
      <name val="Aptos Narrow"/>
    </font>
    <font>
      <b/>
      <i val="0"/>
      <sz val="13"/>
      <name val="Aptos Narrow"/>
    </font>
    <font>
      <b/>
      <i val="0"/>
      <sz val="11"/>
      <name val="Aptos Narrow"/>
    </font>
    <font>
      <b/>
      <i val="0"/>
      <sz val="12"/>
      <name val="Aptos Narrow"/>
    </font>
    <font>
      <b val="0"/>
      <i val="0"/>
      <sz val="10"/>
      <name val="Aptos Narrow"/>
    </font>
    <font>
      <b/>
      <i val="0"/>
      <sz val="12"/>
      <color rgb="FFFFFFFF"/>
      <name val="Aptos Narrow"/>
    </font>
    <font>
      <b/>
      <i val="0"/>
      <sz val="18"/>
      <color rgb="FF1F4E78"/>
      <name val="Aptos Narrow"/>
    </font>
    <font>
      <b/>
      <i val="0"/>
      <sz val="20"/>
      <color rgb="FFFFFFFF"/>
      <name val="Aptos Narrow"/>
    </font>
    <font>
      <b/>
      <i val="0"/>
      <sz val="14"/>
      <color rgb="FFFFFFFF"/>
      <name val="Aptos Narrow"/>
    </font>
    <font>
      <b val="0"/>
      <i val="0"/>
      <sz val="11"/>
      <name val="Aptos Narrow"/>
    </font>
  </fonts>
  <fills count="16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F0F0F0"/>
      </patternFill>
    </fill>
    <fill>
      <patternFill patternType="solid">
        <fgColor rgb="FF90EE90"/>
      </patternFill>
    </fill>
    <fill>
      <patternFill patternType="solid">
        <fgColor rgb="FFFFB6C1"/>
      </patternFill>
    </fill>
    <fill>
      <patternFill patternType="solid">
        <fgColor rgb="FFB4C7E7"/>
      </patternFill>
    </fill>
    <fill>
      <patternFill patternType="solid">
        <fgColor rgb="FFFFFFFF"/>
      </patternFill>
    </fill>
    <fill>
      <patternFill patternType="solid">
        <fgColor rgb="FFF2F2F2"/>
      </patternFill>
    </fill>
    <fill>
      <patternFill patternType="solid">
        <fgColor rgb="FFF8F8F8"/>
      </patternFill>
    </fill>
    <fill>
      <patternFill patternType="solid">
        <fgColor rgb="FFADD8E6"/>
      </patternFill>
    </fill>
    <fill>
      <patternFill patternType="solid">
        <fgColor rgb="FFFFFFE0"/>
      </patternFill>
    </fill>
    <fill>
      <patternFill patternType="solid">
        <fgColor rgb="FFD3D3D3"/>
      </patternFill>
    </fill>
    <fill>
      <patternFill patternType="solid">
        <fgColor rgb="FF4472C4"/>
      </patternFill>
    </fill>
    <fill>
      <patternFill patternType="solid">
        <fgColor rgb="FF70AD47"/>
      </patternFill>
    </fill>
    <fill>
      <patternFill patternType="solid">
        <fgColor rgb="FFE74C3C"/>
      </patternFill>
    </fill>
  </fills>
  <borders count="7">
    <border>
      <left/>
      <right/>
      <top/>
      <bottom/>
    </border>
    <border>
      <left>
        <color rgb="FF000000"/>
      </left>
      <right>
        <color rgb="FF000000"/>
      </right>
      <top>
        <color rgb="FF000000"/>
      </top>
      <bottom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1F4E78"/>
      </left>
      <right style="thin">
        <color rgb="FF1F4E78"/>
      </right>
      <top style="thin">
        <color rgb="FF1F4E78"/>
      </top>
      <bottom style="thin">
        <color rgb="FF1F4E78"/>
      </bottom>
    </border>
  </borders>
  <cellStyleXfs count="1">
    <xf numFmtId="0" fontId="0" fillId="0" borderId="1">
      <alignment horizontal="general" vertical="top"/>
    </xf>
  </cellStyleXfs>
  <cellXfs count="84">
    <xf numFmtId="0" fontId="0" fillId="0" borderId="1" xfId="0">
      <alignment vertical="top"/>
    </xf>
    <xf numFmtId="0" fontId="1" fillId="2" borderId="0" xfId="0">
      <alignment horizontal="center" vertical="center"/>
    </xf>
    <xf numFmtId="0" fontId="2" fillId="0" borderId="0" xfId="0">
      <alignment horizontal="center" vertical="center"/>
    </xf>
    <xf numFmtId="0" fontId="3" fillId="2" borderId="2" xfId="0">
      <alignment horizontal="center" vertical="center"/>
    </xf>
    <xf numFmtId="0" fontId="4" fillId="0" borderId="3" xfId="0">
      <alignment vertical="top"/>
    </xf>
    <xf numFmtId="0" fontId="5" fillId="3" borderId="2" xfId="0">
      <alignment horizontal="center" vertical="center"/>
    </xf>
    <xf numFmtId="0" fontId="4" fillId="0" borderId="2" xfId="0">
      <alignment vertical="top"/>
    </xf>
    <xf numFmtId="0" fontId="6" fillId="4" borderId="2" xfId="0">
      <alignment horizontal="center" vertical="center"/>
    </xf>
    <xf numFmtId="0" fontId="6" fillId="5" borderId="2" xfId="0">
      <alignment horizontal="center" vertical="center"/>
    </xf>
    <xf numFmtId="0" fontId="6" fillId="6" borderId="0" xfId="0">
      <alignment horizontal="center" vertical="center"/>
    </xf>
    <xf numFmtId="0" fontId="7" fillId="2" borderId="0" xfId="0">
      <alignment horizontal="center" vertical="center"/>
    </xf>
    <xf numFmtId="49" fontId="4" fillId="7" borderId="4" xfId="0">
      <alignment vertical="top"/>
    </xf>
    <xf numFmtId="1526" fontId="4" fillId="7" borderId="4" xfId="0">
      <alignment vertical="top"/>
    </xf>
    <xf numFmtId="1528" fontId="4" fillId="7" borderId="4" xfId="0">
      <alignment vertical="top"/>
    </xf>
    <xf numFmtId="10" fontId="4" fillId="7" borderId="4" xfId="0">
      <alignment vertical="top"/>
    </xf>
    <xf numFmtId="49" fontId="4" fillId="8" borderId="4" xfId="0">
      <alignment vertical="top"/>
    </xf>
    <xf numFmtId="1526" fontId="4" fillId="8" borderId="4" xfId="0">
      <alignment vertical="top"/>
    </xf>
    <xf numFmtId="1528" fontId="4" fillId="8" borderId="4" xfId="0">
      <alignment vertical="top"/>
    </xf>
    <xf numFmtId="10" fontId="4" fillId="8" borderId="4" xfId="0">
      <alignment vertical="top"/>
    </xf>
    <xf numFmtId="0" fontId="7" fillId="2" borderId="0" xfId="0">
      <alignment horizontal="center" vertical="top"/>
    </xf>
    <xf numFmtId="49" fontId="4" fillId="0" borderId="0" xfId="0">
      <alignment vertical="top"/>
    </xf>
    <xf numFmtId="1526" fontId="4" fillId="0" borderId="0" xfId="0">
      <alignment vertical="top"/>
    </xf>
    <xf numFmtId="49" fontId="8" fillId="0" borderId="0" xfId="0">
      <alignment vertical="top"/>
    </xf>
    <xf numFmtId="0" fontId="9" fillId="0" borderId="0" xfId="0">
      <alignment vertical="top"/>
    </xf>
    <xf numFmtId="0" fontId="10" fillId="0" borderId="0" xfId="0">
      <alignment vertical="top"/>
    </xf>
    <xf numFmtId="0" fontId="11" fillId="2" borderId="5" xfId="0">
      <alignment horizontal="center" vertical="center"/>
    </xf>
    <xf numFmtId="0" fontId="4" fillId="9" borderId="4" xfId="0">
      <alignment vertical="top"/>
    </xf>
    <xf numFmtId="1594" fontId="4" fillId="9" borderId="4" xfId="0">
      <alignment vertical="top"/>
    </xf>
    <xf numFmtId="3" fontId="4" fillId="9" borderId="4" xfId="0">
      <alignment vertical="top"/>
    </xf>
    <xf numFmtId="49" fontId="4" fillId="9" borderId="4" xfId="0">
      <alignment vertical="top"/>
    </xf>
    <xf numFmtId="1595" fontId="4" fillId="9" borderId="4" xfId="0">
      <alignment vertical="top"/>
    </xf>
    <xf numFmtId="0" fontId="4" fillId="7" borderId="4" xfId="0">
      <alignment vertical="top"/>
    </xf>
    <xf numFmtId="1594" fontId="4" fillId="7" borderId="4" xfId="0">
      <alignment vertical="top"/>
    </xf>
    <xf numFmtId="3" fontId="4" fillId="7" borderId="4" xfId="0">
      <alignment vertical="top"/>
    </xf>
    <xf numFmtId="1595" fontId="4" fillId="7" borderId="4" xfId="0">
      <alignment vertical="top"/>
    </xf>
    <xf numFmtId="0" fontId="12" fillId="2" borderId="0" xfId="0">
      <alignment horizontal="center" vertical="center"/>
    </xf>
    <xf numFmtId="0" fontId="13" fillId="0" borderId="0" xfId="0">
      <alignment horizontal="center" vertical="center"/>
    </xf>
    <xf numFmtId="0" fontId="14" fillId="10" borderId="0" xfId="0">
      <alignment horizontal="center" vertical="center"/>
    </xf>
    <xf numFmtId="0" fontId="15" fillId="0" borderId="0" xfId="0">
      <alignment vertical="top"/>
    </xf>
    <xf numFmtId="49" fontId="4" fillId="11" borderId="0" xfId="0">
      <alignment vertical="top"/>
    </xf>
    <xf numFmtId="0" fontId="16" fillId="4" borderId="0" xfId="0">
      <alignment horizontal="center" vertical="center"/>
    </xf>
    <xf numFmtId="1595" fontId="4" fillId="0" borderId="0" xfId="0">
      <alignment vertical="top"/>
    </xf>
    <xf numFmtId="3" fontId="4" fillId="0" borderId="0" xfId="0">
      <alignment vertical="top"/>
    </xf>
    <xf numFmtId="10" fontId="4" fillId="0" borderId="0" xfId="0">
      <alignment vertical="top"/>
    </xf>
    <xf numFmtId="1595" fontId="4" fillId="11" borderId="0" xfId="0">
      <alignment vertical="top"/>
    </xf>
    <xf numFmtId="1594" fontId="4" fillId="11" borderId="0" xfId="0">
      <alignment vertical="top"/>
    </xf>
    <xf numFmtId="3" fontId="4" fillId="7" borderId="5" xfId="0">
      <alignment vertical="top"/>
    </xf>
    <xf numFmtId="1594" fontId="4" fillId="7" borderId="5" xfId="0">
      <alignment vertical="top"/>
    </xf>
    <xf numFmtId="1595" fontId="4" fillId="7" borderId="5" xfId="0">
      <alignment vertical="top"/>
    </xf>
    <xf numFmtId="3" fontId="4" fillId="9" borderId="5" xfId="0">
      <alignment vertical="top"/>
    </xf>
    <xf numFmtId="1594" fontId="4" fillId="9" borderId="5" xfId="0">
      <alignment vertical="top"/>
    </xf>
    <xf numFmtId="1595" fontId="4" fillId="9" borderId="5" xfId="0">
      <alignment vertical="top"/>
    </xf>
    <xf numFmtId="0" fontId="16" fillId="0" borderId="0" xfId="0">
      <alignment vertical="top"/>
    </xf>
    <xf numFmtId="0" fontId="17" fillId="0" borderId="0" xfId="0">
      <alignment vertical="top"/>
    </xf>
    <xf numFmtId="0" fontId="13" fillId="0" borderId="0" xfId="0">
      <alignment horizontal="center" vertical="top"/>
    </xf>
    <xf numFmtId="0" fontId="18" fillId="2" borderId="5" xfId="0">
      <alignment horizontal="center" vertical="center"/>
    </xf>
    <xf numFmtId="1526" fontId="4" fillId="9" borderId="4" xfId="0">
      <alignment vertical="top"/>
    </xf>
    <xf numFmtId="0" fontId="19" fillId="0" borderId="0" xfId="0">
      <alignment horizontal="center" vertical="top"/>
    </xf>
    <xf numFmtId="0" fontId="18" fillId="2" borderId="6" xfId="0">
      <alignment horizontal="center" vertical="top"/>
    </xf>
    <xf numFmtId="1594" fontId="4" fillId="0" borderId="4" xfId="0">
      <alignment vertical="top"/>
    </xf>
    <xf numFmtId="0" fontId="4" fillId="0" borderId="4" xfId="0">
      <alignment vertical="top"/>
    </xf>
    <xf numFmtId="1595" fontId="4" fillId="0" borderId="4" xfId="0">
      <alignment vertical="top"/>
    </xf>
    <xf numFmtId="0" fontId="16" fillId="0" borderId="0" xfId="0">
      <alignment horizontal="center" vertical="top"/>
    </xf>
    <xf numFmtId="0" fontId="10" fillId="0" borderId="0" xfId="0">
      <alignment horizontal="center" vertical="top"/>
    </xf>
    <xf numFmtId="0" fontId="17" fillId="0" borderId="0" xfId="0">
      <alignment horizontal="center" vertical="top"/>
    </xf>
    <xf numFmtId="0" fontId="6" fillId="10" borderId="0" xfId="0">
      <alignment vertical="top"/>
    </xf>
    <xf numFmtId="0" fontId="16" fillId="12" borderId="0" xfId="0">
      <alignment vertical="top"/>
    </xf>
    <xf numFmtId="4" fontId="4" fillId="11" borderId="0" xfId="0">
      <alignment vertical="top"/>
    </xf>
    <xf numFmtId="3" fontId="4" fillId="11" borderId="0" xfId="0">
      <alignment vertical="top"/>
    </xf>
    <xf numFmtId="0" fontId="18" fillId="2" borderId="5" xfId="0">
      <alignment horizontal="center" vertical="top"/>
    </xf>
    <xf numFmtId="0" fontId="4" fillId="3" borderId="4" xfId="0">
      <alignment vertical="top"/>
    </xf>
    <xf numFmtId="1526" fontId="4" fillId="3" borderId="4" xfId="0">
      <alignment vertical="top"/>
    </xf>
    <xf numFmtId="10" fontId="4" fillId="3" borderId="4" xfId="0">
      <alignment vertical="top"/>
    </xf>
    <xf numFmtId="3" fontId="4" fillId="3" borderId="4" xfId="0">
      <alignment vertical="top"/>
    </xf>
    <xf numFmtId="4" fontId="4" fillId="7" borderId="4" xfId="0">
      <alignment vertical="top"/>
    </xf>
    <xf numFmtId="1595" fontId="4" fillId="3" borderId="4" xfId="0">
      <alignment vertical="top"/>
    </xf>
    <xf numFmtId="4" fontId="4" fillId="3" borderId="4" xfId="0">
      <alignment vertical="top"/>
    </xf>
    <xf numFmtId="0" fontId="20" fillId="2" borderId="0" xfId="0">
      <alignment horizontal="center" vertical="center"/>
    </xf>
    <xf numFmtId="0" fontId="21" fillId="13" borderId="0" xfId="0">
      <alignment horizontal="left" vertical="center"/>
    </xf>
    <xf numFmtId="0" fontId="15" fillId="0" borderId="0" xfId="0">
      <alignment vertical="center"/>
    </xf>
    <xf numFmtId="0" fontId="22" fillId="0" borderId="0" xfId="0">
      <alignment vertical="center"/>
    </xf>
    <xf numFmtId="0" fontId="16" fillId="0" borderId="0" xfId="0">
      <alignment vertical="center"/>
    </xf>
    <xf numFmtId="0" fontId="21" fillId="14" borderId="0" xfId="0">
      <alignment horizontal="left" vertical="center"/>
    </xf>
    <xf numFmtId="0" fontId="21" fillId="15" borderId="0" xfId="0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styles" Target="styles.xml"/><Relationship Id="rId9" Type="http://schemas.openxmlformats.org/officeDocument/2006/relationships/theme" Target="theme/theme1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CCF427EC-4B08-280D-0253-AE42EE683888}" mc:Ignorable="x14ac xr xr2 xr3">
  <dimension ref="A1:GR1000"/>
  <sheetViews>
    <sheetView topLeftCell="A1" workbookViewId="0">
      <selection activeCell="A1" sqref="A1:H1"/>
    </sheetView>
  </sheetViews>
  <sheetFormatPr defaultRowHeight="15" defaultColWidth="8.8515625" customHeight="1"/>
  <cols>
    <col min="1" max="8" width="17.140625" customWidth="1"/>
  </cols>
  <sheetData>
    <row r="1" ht="25.5" customHeight="1">
      <c r="A1" s="1" t="s">
        <v>0</v>
      </c>
    </row>
    <row r="2" ht="15.75" customHeight="1">
      <c r="A2" s="2" t="s">
        <v>1</v>
      </c>
    </row>
    <row r="4" ht="18.75" customHeight="1">
      <c r="A4" s="3" t="s">
        <v>2</v>
      </c>
      <c r="D4" s="4"/>
      <c r="E4" s="3" t="s">
        <v>3</v>
      </c>
      <c r="H4" s="4"/>
    </row>
    <row r="5" ht="15" customHeight="1">
      <c r="A5" s="5">
        <f>SUM(Settings!E13:E32)</f>
        <v>6106.25</v>
      </c>
      <c r="D5" s="4"/>
      <c r="E5" s="5">
        <f>COUNTA(Settings!A13:A32)</f>
        <v>3</v>
      </c>
      <c r="H5" s="4"/>
    </row>
    <row r="6" ht="15" customHeight="1">
      <c r="A6" s="6"/>
      <c r="D6" s="4"/>
      <c r="E6" s="6"/>
      <c r="H6" s="4"/>
    </row>
    <row r="7" ht="15" customHeight="1">
      <c r="A7" s="6"/>
      <c r="D7" s="4"/>
      <c r="E7" s="6"/>
      <c r="H7" s="4"/>
    </row>
    <row r="8" ht="18.75" customHeight="1">
      <c r="A8" s="7" t="s">
        <v>4</v>
      </c>
      <c r="D8" s="4"/>
      <c r="E8" s="8" t="s">
        <v>5</v>
      </c>
      <c r="H8" s="4"/>
    </row>
    <row r="9" ht="15" customHeight="1">
      <c r="A9" s="5">
        <f>_xlfn.SUMIFS(Payments!H:H,Payments!B:B,"&gt;="&amp;DATE(YEAR(TODAY()),MONTH(TODAY()),1),Payments!B:B,"&lt;="&amp;EOMONTH(TODAY(),0),Payments!E:E,"Payment")</f>
        <v>750</v>
      </c>
      <c r="D9" s="4"/>
      <c r="E9" s="5">
        <f>_xlfn.SUMIFS('Payment Planner'!D:D,'Payment Planner'!A:A,"&gt;="&amp;TODAY(),'Payment Planner'!A:A,"&lt;="&amp;TODAY()+30)</f>
        <v>1389.63725</v>
      </c>
      <c r="H9" s="4"/>
    </row>
    <row r="10" ht="15" customHeight="1">
      <c r="A10" s="6"/>
      <c r="D10" s="4"/>
      <c r="E10" s="6"/>
      <c r="H10" s="4"/>
    </row>
    <row r="11" ht="15" customHeight="1">
      <c r="A11" s="6"/>
      <c r="D11" s="4"/>
      <c r="E11" s="6"/>
      <c r="H11" s="4"/>
    </row>
    <row r="13" ht="18.75" customHeight="1">
      <c r="A13" s="9" t="s">
        <v>6</v>
      </c>
    </row>
    <row r="14" ht="15" customHeight="1">
      <c r="A14" s="10" t="s">
        <v>7</v>
      </c>
      <c r="B14" s="10" t="s">
        <v>8</v>
      </c>
      <c r="C14" s="10" t="s">
        <v>9</v>
      </c>
      <c r="D14" s="10" t="s">
        <v>10</v>
      </c>
      <c r="E14" s="10" t="s">
        <v>11</v>
      </c>
      <c r="F14" s="10" t="s">
        <v>12</v>
      </c>
    </row>
    <row r="15" ht="15" customHeight="1">
      <c r="A15" s="11" t="str">
        <f>IF(Settings!A13="","",Settings!B13)</f>
        <v>Chase Sapphire Reserve</v>
      </c>
      <c r="B15" s="11" t="str">
        <f>IF(Settings!A13="","",Settings!C13)</f>
        <v>Chase Bank</v>
      </c>
      <c r="C15" s="12">
        <f>IF(Settings!A13="","",Settings!E13)</f>
        <v>3250</v>
      </c>
      <c r="D15" s="12">
        <f>IF(Settings!A13="","",Settings!D13)</f>
        <v>10000</v>
      </c>
      <c r="E15" s="13">
        <f>IF(Settings!A13="","",IF(Settings!D13&gt;0,Settings!E13/Settings!D13*100,""))</f>
        <v>32.5</v>
      </c>
      <c r="F15" s="14">
        <f>IF(Settings!A13="","",Settings!F13)</f>
        <v>0.1999</v>
      </c>
    </row>
    <row r="16" ht="15" customHeight="1">
      <c r="A16" s="15" t="str">
        <f>IF(Settings!A14="","",Settings!B14)</f>
        <v>Capital One Venture</v>
      </c>
      <c r="B16" s="15" t="str">
        <f>IF(Settings!A14="","",Settings!C14)</f>
        <v>Capital One</v>
      </c>
      <c r="C16" s="16">
        <f>IF(Settings!A14="","",Settings!E14)</f>
        <v>1875.5</v>
      </c>
      <c r="D16" s="16">
        <f>IF(Settings!A14="","",Settings!D14)</f>
        <v>7500</v>
      </c>
      <c r="E16" s="17">
        <f>IF(Settings!A14="","",IF(Settings!D14&gt;0,Settings!E14/Settings!D14*100,""))</f>
        <v>25.0066666666667</v>
      </c>
      <c r="F16" s="18">
        <f>IF(Settings!A14="","",Settings!F14)</f>
        <v>0.2149</v>
      </c>
    </row>
    <row r="17" ht="15" customHeight="1">
      <c r="A17" s="11" t="str">
        <f>IF(Settings!A15="","",Settings!B15)</f>
        <v>Citi Double Cash</v>
      </c>
      <c r="B17" s="11" t="str">
        <f>IF(Settings!A15="","",Settings!C15)</f>
        <v>Citibank</v>
      </c>
      <c r="C17" s="12">
        <f>IF(Settings!A15="","",Settings!E15)</f>
        <v>980.75</v>
      </c>
      <c r="D17" s="12">
        <f>IF(Settings!A15="","",Settings!D15)</f>
        <v>5000</v>
      </c>
      <c r="E17" s="13">
        <f>IF(Settings!A15="","",IF(Settings!D15&gt;0,Settings!E15/Settings!D15*100,""))</f>
        <v>19.615</v>
      </c>
      <c r="F17" s="14">
        <f>IF(Settings!A15="","",Settings!F15)</f>
        <v>0.1699</v>
      </c>
    </row>
    <row r="18" ht="15" customHeight="1">
      <c r="A18" s="15" t="str">
        <f>IF(Settings!A16="","",Settings!B16)</f>
        <v/>
      </c>
      <c r="B18" s="15" t="str">
        <f>IF(Settings!A16="","",Settings!C16)</f>
        <v/>
      </c>
      <c r="C18" s="16" t="str">
        <f>IF(Settings!A16="","",Settings!E16)</f>
        <v/>
      </c>
      <c r="D18" s="16" t="str">
        <f>IF(Settings!A16="","",Settings!D16)</f>
        <v/>
      </c>
      <c r="E18" s="17" t="str">
        <f>IF(Settings!A16="","",IF(Settings!D16&gt;0,Settings!E16/Settings!D16*100,""))</f>
        <v/>
      </c>
      <c r="F18" s="18" t="str">
        <f>IF(Settings!A16="","",Settings!F16)</f>
        <v/>
      </c>
    </row>
    <row r="19" ht="15" customHeight="1">
      <c r="A19" s="11" t="str">
        <f>IF(Settings!A17="","",Settings!B17)</f>
        <v/>
      </c>
      <c r="B19" s="11" t="str">
        <f>IF(Settings!A17="","",Settings!C17)</f>
        <v/>
      </c>
      <c r="C19" s="12" t="str">
        <f>IF(Settings!A17="","",Settings!E17)</f>
        <v/>
      </c>
      <c r="D19" s="12" t="str">
        <f>IF(Settings!A17="","",Settings!D17)</f>
        <v/>
      </c>
      <c r="E19" s="13" t="str">
        <f>IF(Settings!A17="","",IF(Settings!D17&gt;0,Settings!E17/Settings!D17*100,""))</f>
        <v/>
      </c>
      <c r="F19" s="14" t="str">
        <f>IF(Settings!A17="","",Settings!F17)</f>
        <v/>
      </c>
    </row>
    <row r="20" ht="15" customHeight="1">
      <c r="A20" s="15" t="str">
        <f>IF(Settings!A18="","",Settings!B18)</f>
        <v/>
      </c>
      <c r="B20" s="15" t="str">
        <f>IF(Settings!A18="","",Settings!C18)</f>
        <v/>
      </c>
      <c r="C20" s="16" t="str">
        <f>IF(Settings!A18="","",Settings!E18)</f>
        <v/>
      </c>
      <c r="D20" s="16" t="str">
        <f>IF(Settings!A18="","",Settings!D18)</f>
        <v/>
      </c>
      <c r="E20" s="17" t="str">
        <f>IF(Settings!A18="","",IF(Settings!D18&gt;0,Settings!E18/Settings!D18*100,""))</f>
        <v/>
      </c>
      <c r="F20" s="18" t="str">
        <f>IF(Settings!A18="","",Settings!F18)</f>
        <v/>
      </c>
    </row>
    <row r="21" ht="15" customHeight="1">
      <c r="A21" s="11" t="str">
        <f>IF(Settings!A19="","",Settings!B19)</f>
        <v/>
      </c>
      <c r="B21" s="11" t="str">
        <f>IF(Settings!A19="","",Settings!C19)</f>
        <v/>
      </c>
      <c r="C21" s="12" t="str">
        <f>IF(Settings!A19="","",Settings!E19)</f>
        <v/>
      </c>
      <c r="D21" s="12" t="str">
        <f>IF(Settings!A19="","",Settings!D19)</f>
        <v/>
      </c>
      <c r="E21" s="13" t="str">
        <f>IF(Settings!A19="","",IF(Settings!D19&gt;0,Settings!E19/Settings!D19*100,""))</f>
        <v/>
      </c>
      <c r="F21" s="14" t="str">
        <f>IF(Settings!A19="","",Settings!F19)</f>
        <v/>
      </c>
    </row>
    <row r="22" ht="15" customHeight="1">
      <c r="A22" s="15" t="str">
        <f>IF(Settings!A20="","",Settings!B20)</f>
        <v/>
      </c>
      <c r="B22" s="15" t="str">
        <f>IF(Settings!A20="","",Settings!C20)</f>
        <v/>
      </c>
      <c r="C22" s="16" t="str">
        <f>IF(Settings!A20="","",Settings!E20)</f>
        <v/>
      </c>
      <c r="D22" s="16" t="str">
        <f>IF(Settings!A20="","",Settings!D20)</f>
        <v/>
      </c>
      <c r="E22" s="17" t="str">
        <f>IF(Settings!A20="","",IF(Settings!D20&gt;0,Settings!E20/Settings!D20*100,""))</f>
        <v/>
      </c>
      <c r="F22" s="18" t="str">
        <f>IF(Settings!A20="","",Settings!F20)</f>
        <v/>
      </c>
    </row>
    <row r="23" ht="15" customHeight="1">
      <c r="A23" s="11" t="str">
        <f>IF(Settings!A21="","",Settings!B21)</f>
        <v/>
      </c>
      <c r="B23" s="11" t="str">
        <f>IF(Settings!A21="","",Settings!C21)</f>
        <v/>
      </c>
      <c r="C23" s="12" t="str">
        <f>IF(Settings!A21="","",Settings!E21)</f>
        <v/>
      </c>
      <c r="D23" s="12" t="str">
        <f>IF(Settings!A21="","",Settings!D21)</f>
        <v/>
      </c>
      <c r="E23" s="13" t="str">
        <f>IF(Settings!A21="","",IF(Settings!D21&gt;0,Settings!E21/Settings!D21*100,""))</f>
        <v/>
      </c>
      <c r="F23" s="14" t="str">
        <f>IF(Settings!A21="","",Settings!F21)</f>
        <v/>
      </c>
    </row>
    <row r="25" ht="18.75" customHeight="1">
      <c r="A25" s="9" t="s">
        <v>20</v>
      </c>
    </row>
    <row r="27" ht="15" customHeight="1">
      <c r="A27" s="19" t="s">
        <v>21</v>
      </c>
      <c r="B27" s="19" t="s">
        <v>22</v>
      </c>
      <c r="C27" s="19" t="s">
        <v>23</v>
      </c>
      <c r="D27" s="19" t="s">
        <v>24</v>
      </c>
      <c r="F27" s="19" t="s">
        <v>25</v>
      </c>
      <c r="G27" s="19" t="s">
        <v>9</v>
      </c>
    </row>
    <row r="28" ht="15" customHeight="1">
      <c r="A28" s="20" t="str">
        <f>TEXT(EDATE(TODAY(),-11),"MMM YYYY")</f>
        <v>Jan 2025</v>
      </c>
      <c r="B28" s="21">
        <f>_xlfn.SUMIFS(Payments!H:H,Payments!B:B,"&gt;="&amp;EOMONTH(TODAY(),-12)+1,Payments!B:B,"&lt;="&amp;EOMONTH(TODAY(),-11),Payments!E:E,"Payment")</f>
        <v>0</v>
      </c>
      <c r="C28" s="21">
        <f>_xlfn.SUMIFS(Payments!H:H,Payments!B:B,"&gt;="&amp;EOMONTH(TODAY(),-12)+1,Payments!B:B,"&lt;="&amp;EOMONTH(TODAY(),-11),Payments!E:E,"Interest")</f>
        <v>0</v>
      </c>
      <c r="D28" s="21">
        <f t="shared" si="0" ref="D28:D39">B28-C28</f>
        <v>0</v>
      </c>
      <c r="F28" s="20" t="str">
        <f>IF(ROWS(F$28:F28)&gt;COUNTA(Settings!B13:B17),"",INDEX(Settings!B13:B22,ROWS(F$28:F28)))</f>
        <v>Chase Sapphire Reserve</v>
      </c>
      <c r="G28" s="21">
        <f>IF(F28="","",INDEX(Settings!E13:E22,ROWS(F$28:F28)))</f>
        <v>3250</v>
      </c>
    </row>
    <row r="29" ht="15" customHeight="1">
      <c r="A29" s="20" t="str">
        <f>TEXT(EDATE(TODAY(),-10),"MMM YYYY")</f>
        <v>Feb 2025</v>
      </c>
      <c r="B29" s="21">
        <f>_xlfn.SUMIFS(Payments!H:H,Payments!B:B,"&gt;="&amp;EOMONTH(TODAY(),-11)+1,Payments!B:B,"&lt;="&amp;EOMONTH(TODAY(),-10),Payments!E:E,"Payment")</f>
        <v>0</v>
      </c>
      <c r="C29" s="21">
        <f>_xlfn.SUMIFS(Payments!H:H,Payments!B:B,"&gt;="&amp;EOMONTH(TODAY(),-11)+1,Payments!B:B,"&lt;="&amp;EOMONTH(TODAY(),-10),Payments!E:E,"Interest")</f>
        <v>0</v>
      </c>
      <c r="D29" s="21">
        <f t="shared" si="0"/>
        <v>0</v>
      </c>
      <c r="F29" s="20" t="str">
        <f>IF(ROWS(F$28:F29)&gt;COUNTA(Settings!B13:B17),"",INDEX(Settings!B13:B22,ROWS(F$28:F29)))</f>
        <v>Capital One Venture</v>
      </c>
      <c r="G29" s="21">
        <f>IF(F29="","",INDEX(Settings!E13:E22,ROWS(F$28:F29)))</f>
        <v>1875.5</v>
      </c>
    </row>
    <row r="30" ht="15" customHeight="1">
      <c r="A30" s="20" t="str">
        <f>TEXT(EDATE(TODAY(),-9),"MMM YYYY")</f>
        <v>Mar 2025</v>
      </c>
      <c r="B30" s="21">
        <f>_xlfn.SUMIFS(Payments!H:H,Payments!B:B,"&gt;="&amp;EOMONTH(TODAY(),-10)+1,Payments!B:B,"&lt;="&amp;EOMONTH(TODAY(),-9),Payments!E:E,"Payment")</f>
        <v>0</v>
      </c>
      <c r="C30" s="21">
        <f>_xlfn.SUMIFS(Payments!H:H,Payments!B:B,"&gt;="&amp;EOMONTH(TODAY(),-10)+1,Payments!B:B,"&lt;="&amp;EOMONTH(TODAY(),-9),Payments!E:E,"Interest")</f>
        <v>0</v>
      </c>
      <c r="D30" s="21">
        <f t="shared" si="0"/>
        <v>0</v>
      </c>
      <c r="F30" s="20" t="str">
        <f>IF(ROWS(F$28:F30)&gt;COUNTA(Settings!B13:B17),"",INDEX(Settings!B13:B22,ROWS(F$28:F30)))</f>
        <v>Citi Double Cash</v>
      </c>
      <c r="G30" s="21">
        <f>IF(F30="","",INDEX(Settings!E13:E22,ROWS(F$28:F30)))</f>
        <v>980.75</v>
      </c>
    </row>
    <row r="31" ht="15" customHeight="1">
      <c r="A31" s="20" t="str">
        <f>TEXT(EDATE(TODAY(),-8),"MMM YYYY")</f>
        <v>Apr 2025</v>
      </c>
      <c r="B31" s="21">
        <f>_xlfn.SUMIFS(Payments!H:H,Payments!B:B,"&gt;="&amp;EOMONTH(TODAY(),-9)+1,Payments!B:B,"&lt;="&amp;EOMONTH(TODAY(),-8),Payments!E:E,"Payment")</f>
        <v>0</v>
      </c>
      <c r="C31" s="21">
        <f>_xlfn.SUMIFS(Payments!H:H,Payments!B:B,"&gt;="&amp;EOMONTH(TODAY(),-9)+1,Payments!B:B,"&lt;="&amp;EOMONTH(TODAY(),-8),Payments!E:E,"Interest")</f>
        <v>0</v>
      </c>
      <c r="D31" s="21">
        <f t="shared" si="0"/>
        <v>0</v>
      </c>
      <c r="F31" s="20" t="str">
        <f>IF(ROWS(F$28:F31)&gt;COUNTA(Settings!B13:B17),"",INDEX(Settings!B13:B22,ROWS(F$28:F31)))</f>
        <v/>
      </c>
      <c r="G31" s="21" t="str">
        <f>IF(F31="","",INDEX(Settings!E13:E22,ROWS(F$28:F31)))</f>
        <v/>
      </c>
    </row>
    <row r="32" ht="15" customHeight="1">
      <c r="A32" s="20" t="str">
        <f>TEXT(EDATE(TODAY(),-7),"MMM YYYY")</f>
        <v>May 2025</v>
      </c>
      <c r="B32" s="21">
        <f>_xlfn.SUMIFS(Payments!H:H,Payments!B:B,"&gt;="&amp;EOMONTH(TODAY(),-8)+1,Payments!B:B,"&lt;="&amp;EOMONTH(TODAY(),-7),Payments!E:E,"Payment")</f>
        <v>0</v>
      </c>
      <c r="C32" s="21">
        <f>_xlfn.SUMIFS(Payments!H:H,Payments!B:B,"&gt;="&amp;EOMONTH(TODAY(),-8)+1,Payments!B:B,"&lt;="&amp;EOMONTH(TODAY(),-7),Payments!E:E,"Interest")</f>
        <v>0</v>
      </c>
      <c r="D32" s="21">
        <f t="shared" si="0"/>
        <v>0</v>
      </c>
      <c r="F32" s="20" t="str">
        <f>IF(ROWS(F$28:F32)&gt;COUNTA(Settings!B13:B17),"",INDEX(Settings!B13:B22,ROWS(F$28:F32)))</f>
        <v/>
      </c>
      <c r="G32" s="21" t="str">
        <f>IF(F32="","",INDEX(Settings!E13:E22,ROWS(F$28:F32)))</f>
        <v/>
      </c>
    </row>
    <row r="33" ht="15" customHeight="1">
      <c r="A33" s="20" t="str">
        <f>TEXT(EDATE(TODAY(),-6),"MMM YYYY")</f>
        <v>Jun 2025</v>
      </c>
      <c r="B33" s="21">
        <f>_xlfn.SUMIFS(Payments!H:H,Payments!B:B,"&gt;="&amp;EOMONTH(TODAY(),-7)+1,Payments!B:B,"&lt;="&amp;EOMONTH(TODAY(),-6),Payments!E:E,"Payment")</f>
        <v>0</v>
      </c>
      <c r="C33" s="21">
        <f>_xlfn.SUMIFS(Payments!H:H,Payments!B:B,"&gt;="&amp;EOMONTH(TODAY(),-7)+1,Payments!B:B,"&lt;="&amp;EOMONTH(TODAY(),-6),Payments!E:E,"Interest")</f>
        <v>0</v>
      </c>
      <c r="D33" s="21">
        <f t="shared" si="0"/>
        <v>0</v>
      </c>
    </row>
    <row r="34" ht="15" customHeight="1">
      <c r="A34" s="20" t="str">
        <f>TEXT(EDATE(TODAY(),-5),"MMM YYYY")</f>
        <v>Jul 2025</v>
      </c>
      <c r="B34" s="21">
        <f>_xlfn.SUMIFS(Payments!H:H,Payments!B:B,"&gt;="&amp;EOMONTH(TODAY(),-6)+1,Payments!B:B,"&lt;="&amp;EOMONTH(TODAY(),-5),Payments!E:E,"Payment")</f>
        <v>0</v>
      </c>
      <c r="C34" s="21">
        <f>_xlfn.SUMIFS(Payments!H:H,Payments!B:B,"&gt;="&amp;EOMONTH(TODAY(),-6)+1,Payments!B:B,"&lt;="&amp;EOMONTH(TODAY(),-5),Payments!E:E,"Interest")</f>
        <v>0</v>
      </c>
      <c r="D34" s="21">
        <f t="shared" si="0"/>
        <v>0</v>
      </c>
    </row>
    <row r="35" ht="15" customHeight="1">
      <c r="A35" s="20" t="str">
        <f>TEXT(EDATE(TODAY(),-4),"MMM YYYY")</f>
        <v>Aug 2025</v>
      </c>
      <c r="B35" s="21">
        <f>_xlfn.SUMIFS(Payments!H:H,Payments!B:B,"&gt;="&amp;EOMONTH(TODAY(),-5)+1,Payments!B:B,"&lt;="&amp;EOMONTH(TODAY(),-4),Payments!E:E,"Payment")</f>
        <v>0</v>
      </c>
      <c r="C35" s="21">
        <f>_xlfn.SUMIFS(Payments!H:H,Payments!B:B,"&gt;="&amp;EOMONTH(TODAY(),-5)+1,Payments!B:B,"&lt;="&amp;EOMONTH(TODAY(),-4),Payments!E:E,"Interest")</f>
        <v>0</v>
      </c>
      <c r="D35" s="21">
        <f t="shared" si="0"/>
        <v>0</v>
      </c>
    </row>
    <row r="36" ht="15" customHeight="1">
      <c r="A36" s="20" t="str">
        <f>TEXT(EDATE(TODAY(),-3),"MMM YYYY")</f>
        <v>Sep 2025</v>
      </c>
      <c r="B36" s="21">
        <f>_xlfn.SUMIFS(Payments!H:H,Payments!B:B,"&gt;="&amp;EOMONTH(TODAY(),-4)+1,Payments!B:B,"&lt;="&amp;EOMONTH(TODAY(),-3),Payments!E:E,"Payment")</f>
        <v>0</v>
      </c>
      <c r="C36" s="21">
        <f>_xlfn.SUMIFS(Payments!H:H,Payments!B:B,"&gt;="&amp;EOMONTH(TODAY(),-4)+1,Payments!B:B,"&lt;="&amp;EOMONTH(TODAY(),-3),Payments!E:E,"Interest")</f>
        <v>0</v>
      </c>
      <c r="D36" s="21">
        <f t="shared" si="0"/>
        <v>0</v>
      </c>
    </row>
    <row r="37" ht="15" customHeight="1">
      <c r="A37" s="20" t="str">
        <f>TEXT(EDATE(TODAY(),-2),"MMM YYYY")</f>
        <v>Oct 2025</v>
      </c>
      <c r="B37" s="21">
        <f>_xlfn.SUMIFS(Payments!H:H,Payments!B:B,"&gt;="&amp;EOMONTH(TODAY(),-3)+1,Payments!B:B,"&lt;="&amp;EOMONTH(TODAY(),-2),Payments!E:E,"Payment")</f>
        <v>0</v>
      </c>
      <c r="C37" s="21">
        <f>_xlfn.SUMIFS(Payments!H:H,Payments!B:B,"&gt;="&amp;EOMONTH(TODAY(),-3)+1,Payments!B:B,"&lt;="&amp;EOMONTH(TODAY(),-2),Payments!E:E,"Interest")</f>
        <v>0</v>
      </c>
      <c r="D37" s="21">
        <f t="shared" si="0"/>
        <v>0</v>
      </c>
    </row>
    <row r="38" ht="15" customHeight="1">
      <c r="A38" s="20" t="str">
        <f>TEXT(EDATE(TODAY(),-1),"MMM YYYY")</f>
        <v>Nov 2025</v>
      </c>
      <c r="B38" s="21">
        <f>_xlfn.SUMIFS(Payments!H:H,Payments!B:B,"&gt;="&amp;EOMONTH(TODAY(),-2)+1,Payments!B:B,"&lt;="&amp;EOMONTH(TODAY(),-1),Payments!E:E,"Payment")</f>
        <v>750</v>
      </c>
      <c r="C38" s="21">
        <f>_xlfn.SUMIFS(Payments!H:H,Payments!B:B,"&gt;="&amp;EOMONTH(TODAY(),-2)+1,Payments!B:B,"&lt;="&amp;EOMONTH(TODAY(),-1),Payments!E:E,"Interest")</f>
        <v>0</v>
      </c>
      <c r="D38" s="21">
        <f t="shared" si="0"/>
        <v>750</v>
      </c>
    </row>
    <row r="39" ht="15" customHeight="1">
      <c r="A39" s="20" t="str">
        <f>TEXT(EDATE(TODAY(),-0),"MMM YYYY")</f>
        <v>Dec 2025</v>
      </c>
      <c r="B39" s="21">
        <f>_xlfn.SUMIFS(Payments!H:H,Payments!B:B,"&gt;="&amp;EOMONTH(TODAY(),-1)+1,Payments!B:B,"&lt;="&amp;EOMONTH(TODAY(),-0),Payments!E:E,"Payment")</f>
        <v>750</v>
      </c>
      <c r="C39" s="21">
        <f>_xlfn.SUMIFS(Payments!H:H,Payments!B:B,"&gt;="&amp;EOMONTH(TODAY(),-1)+1,Payments!B:B,"&lt;="&amp;EOMONTH(TODAY(),-0),Payments!E:E,"Interest")</f>
        <v>-88.45</v>
      </c>
      <c r="D39" s="21">
        <f t="shared" si="0"/>
        <v>838.45</v>
      </c>
    </row>
    <row r="42" ht="18.75" customHeight="1">
      <c r="A42" s="9" t="s">
        <v>38</v>
      </c>
    </row>
    <row r="44" ht="15" customHeight="1">
      <c r="A44" s="22" t="s">
        <v>39</v>
      </c>
      <c r="E44" s="22" t="s">
        <v>40</v>
      </c>
    </row>
    <row r="45" ht="15" customHeight="1">
      <c r="A45" s="22" t="s">
        <v>41</v>
      </c>
      <c r="E45" s="22" t="s">
        <v>42</v>
      </c>
    </row>
    <row r="46" ht="15" customHeight="1">
      <c r="A46" s="22" t="s">
        <v>43</v>
      </c>
      <c r="E46" s="22" t="s">
        <v>44</v>
      </c>
    </row>
    <row r="48" ht="15" customHeight="1">
      <c r="A48" s="23" t="s">
        <v>45</v>
      </c>
    </row>
    <row r="49" ht="15" customHeight="1">
      <c r="A49" s="24" t="s">
        <v>46</v>
      </c>
    </row>
    <row r="50" ht="15" customHeight="1">
      <c r="A50" s="24" t="s">
        <v>47</v>
      </c>
    </row>
    <row r="51" ht="15" customHeight="1">
      <c r="A51" s="24" t="s">
        <v>48</v>
      </c>
    </row>
    <row r="52" ht="15" customHeight="1">
      <c r="A52" s="24" t="s">
        <v>49</v>
      </c>
    </row>
  </sheetData>
  <mergeCells>
    <mergeCell ref="A1:H1"/>
    <mergeCell ref="A2:H2"/>
    <mergeCell ref="A4:D4"/>
    <mergeCell ref="A5:D7"/>
    <mergeCell ref="E4:H4"/>
    <mergeCell ref="E5:H7"/>
    <mergeCell ref="A8:D8"/>
    <mergeCell ref="A9:D11"/>
    <mergeCell ref="E8:H8"/>
    <mergeCell ref="E9:H11"/>
    <mergeCell ref="A13:F13"/>
    <mergeCell ref="A25:H25"/>
    <mergeCell ref="A42:H42"/>
    <mergeCell ref="A49:H49"/>
    <mergeCell ref="A50:H50"/>
    <mergeCell ref="A51:H51"/>
    <mergeCell ref="A52:H52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1858C5A5-214B-81D4-E8C4-AA5AACEA39D8}" mc:Ignorable="x14ac xr xr2 xr3">
  <dimension ref="A1:GR1000"/>
  <sheetViews>
    <sheetView topLeftCell="A1" workbookViewId="0" tabSelected="1">
      <pane ySplit="1" topLeftCell="A2" activePane="bottomLeft" state="frozen"/>
      <selection pane="bottomLeft" activeCell="B2" sqref="B2"/>
    </sheetView>
  </sheetViews>
  <sheetFormatPr defaultRowHeight="15" defaultColWidth="8.8515625" customHeight="1"/>
  <cols>
    <col min="1" max="2" width="13.7109375" customWidth="1"/>
    <col min="3" max="3" width="11.421875" customWidth="1"/>
    <col min="4" max="4" width="22.8515625" customWidth="1"/>
    <col min="5" max="5" width="13.7109375" customWidth="1"/>
    <col min="6" max="6" width="17.140625" customWidth="1"/>
    <col min="7" max="7" width="28.57421875" customWidth="1"/>
    <col min="8" max="8" width="13.7109375" customWidth="1"/>
    <col min="9" max="10" width="16.00390625" customWidth="1"/>
    <col min="11" max="11" width="17.140625" customWidth="1"/>
    <col min="12" max="12" width="20.57421875" customWidth="1"/>
    <col min="13" max="13" width="22.8515625" customWidth="1"/>
  </cols>
  <sheetData>
    <row r="1" ht="15" customHeight="1">
      <c r="A1" s="25" t="s">
        <v>50</v>
      </c>
      <c r="B1" s="25" t="s">
        <v>51</v>
      </c>
      <c r="C1" s="25" t="s">
        <v>52</v>
      </c>
      <c r="D1" s="25" t="s">
        <v>7</v>
      </c>
      <c r="E1" s="25" t="s">
        <v>53</v>
      </c>
      <c r="F1" s="25" t="s">
        <v>54</v>
      </c>
      <c r="G1" s="25" t="s">
        <v>55</v>
      </c>
      <c r="H1" s="25" t="s">
        <v>56</v>
      </c>
      <c r="I1" s="25" t="s">
        <v>57</v>
      </c>
      <c r="J1" s="25" t="s">
        <v>58</v>
      </c>
      <c r="K1" s="25" t="s">
        <v>59</v>
      </c>
      <c r="L1" s="25" t="s">
        <v>60</v>
      </c>
      <c r="M1" s="25" t="s">
        <v>61</v>
      </c>
    </row>
    <row r="2" ht="15" customHeight="1">
      <c r="A2" s="26" t="e">
        <f t="shared" si="0" ref="A2:A101">IF(B2="","",IF(A1="",1,A1+1))</f>
        <v>#VALUE!</v>
      </c>
      <c r="B2" s="27" t="s">
        <v>62</v>
      </c>
      <c r="C2" s="28">
        <v>1</v>
      </c>
      <c r="D2" s="26" t="str">
        <f>IF(C2="","",_xlfn.IFERROR(INDEX(Settings!$B$13:$B$32,MATCH(C2,Settings!$A$13:$A$32,0)),""))</f>
        <v>Chase Sapphire Reserve</v>
      </c>
      <c r="E2" s="29" t="s">
        <v>63</v>
      </c>
      <c r="F2" s="29" t="s">
        <v>64</v>
      </c>
      <c r="G2" s="29" t="s">
        <v>65</v>
      </c>
      <c r="H2" s="30">
        <v>-125.5</v>
      </c>
      <c r="I2" s="30">
        <f t="shared" si="1" ref="I2:I101">J2</f>
        <v>3124.5</v>
      </c>
      <c r="J2" s="30">
        <f>IF(C2="","",IF(ROW()=2,_xlfn.IFERROR(INDEX(Settings!$E$13:$E$32,MATCH(C2,Settings!$A$13:$A$32,0)),0)+H2,IF(C2=C1,J1+H2,_xlfn.IFERROR(INDEX(Settings!$E$13:$E$32,MATCH(C2,Settings!$A$13:$A$32,0)),0)+H2)))</f>
        <v>3124.5</v>
      </c>
      <c r="K2" s="29" t="s">
        <v>25</v>
      </c>
      <c r="L2" s="26"/>
      <c r="M2" s="26"/>
    </row>
    <row r="3" ht="15" customHeight="1">
      <c r="A3" s="31" t="e">
        <f t="shared" si="0"/>
        <v>#VALUE!</v>
      </c>
      <c r="B3" s="32" t="s">
        <v>66</v>
      </c>
      <c r="C3" s="33">
        <v>2</v>
      </c>
      <c r="D3" s="31" t="str">
        <f>IF(C3="","",_xlfn.IFERROR(INDEX(Settings!$B$13:$B$32,MATCH(C3,Settings!$A$13:$A$32,0)),""))</f>
        <v>Capital One Venture</v>
      </c>
      <c r="E3" s="11" t="s">
        <v>63</v>
      </c>
      <c r="F3" s="11" t="s">
        <v>67</v>
      </c>
      <c r="G3" s="11" t="s">
        <v>68</v>
      </c>
      <c r="H3" s="34">
        <v>-65</v>
      </c>
      <c r="I3" s="34">
        <f t="shared" si="1"/>
        <v>1810.5</v>
      </c>
      <c r="J3" s="34">
        <f>IF(C3="","",IF(ROW()=2,_xlfn.IFERROR(INDEX(Settings!$E$13:$E$32,MATCH(C3,Settings!$A$13:$A$32,0)),0)+H3,IF(C3=C2,J2+H3,_xlfn.IFERROR(INDEX(Settings!$E$13:$E$32,MATCH(C3,Settings!$A$13:$A$32,0)),0)+H3)))</f>
        <v>1810.5</v>
      </c>
      <c r="K3" s="11" t="s">
        <v>25</v>
      </c>
      <c r="L3" s="31"/>
      <c r="M3" s="31"/>
    </row>
    <row r="4" ht="15" customHeight="1">
      <c r="A4" s="26" t="e">
        <f t="shared" si="0"/>
        <v>#VALUE!</v>
      </c>
      <c r="B4" s="27" t="s">
        <v>69</v>
      </c>
      <c r="C4" s="28">
        <v>1</v>
      </c>
      <c r="D4" s="26" t="str">
        <f>IF(C4="","",_xlfn.IFERROR(INDEX(Settings!$B$13:$B$32,MATCH(C4,Settings!$A$13:$A$32,0)),""))</f>
        <v>Chase Sapphire Reserve</v>
      </c>
      <c r="E4" s="29" t="s">
        <v>70</v>
      </c>
      <c r="F4" s="29"/>
      <c r="G4" s="29" t="s">
        <v>71</v>
      </c>
      <c r="H4" s="30">
        <v>500</v>
      </c>
      <c r="I4" s="30">
        <f t="shared" si="1"/>
        <v>3750</v>
      </c>
      <c r="J4" s="30">
        <f>IF(C4="","",IF(ROW()=2,_xlfn.IFERROR(INDEX(Settings!$E$13:$E$32,MATCH(C4,Settings!$A$13:$A$32,0)),0)+H4,IF(C4=C3,J3+H4,_xlfn.IFERROR(INDEX(Settings!$E$13:$E$32,MATCH(C4,Settings!$A$13:$A$32,0)),0)+H4)))</f>
        <v>3750</v>
      </c>
      <c r="K4" s="29" t="s">
        <v>72</v>
      </c>
      <c r="L4" s="26"/>
      <c r="M4" s="26"/>
    </row>
    <row r="5" ht="15" customHeight="1">
      <c r="A5" s="31" t="e">
        <f t="shared" si="0"/>
        <v>#VALUE!</v>
      </c>
      <c r="B5" s="32" t="s">
        <v>73</v>
      </c>
      <c r="C5" s="33">
        <v>3</v>
      </c>
      <c r="D5" s="31" t="str">
        <f>IF(C5="","",_xlfn.IFERROR(INDEX(Settings!$B$13:$B$32,MATCH(C5,Settings!$A$13:$A$32,0)),""))</f>
        <v>Citi Double Cash</v>
      </c>
      <c r="E5" s="11" t="s">
        <v>63</v>
      </c>
      <c r="F5" s="11" t="s">
        <v>74</v>
      </c>
      <c r="G5" s="11" t="s">
        <v>75</v>
      </c>
      <c r="H5" s="34">
        <v>-89.25</v>
      </c>
      <c r="I5" s="34">
        <f t="shared" si="1"/>
        <v>891.5</v>
      </c>
      <c r="J5" s="34">
        <f>IF(C5="","",IF(ROW()=2,_xlfn.IFERROR(INDEX(Settings!$E$13:$E$32,MATCH(C5,Settings!$A$13:$A$32,0)),0)+H5,IF(C5=C4,J4+H5,_xlfn.IFERROR(INDEX(Settings!$E$13:$E$32,MATCH(C5,Settings!$A$13:$A$32,0)),0)+H5)))</f>
        <v>891.5</v>
      </c>
      <c r="K5" s="11" t="s">
        <v>25</v>
      </c>
      <c r="L5" s="31"/>
      <c r="M5" s="31"/>
    </row>
    <row r="6" ht="15" customHeight="1">
      <c r="A6" s="26" t="e">
        <f t="shared" si="0"/>
        <v>#VALUE!</v>
      </c>
      <c r="B6" s="27" t="s">
        <v>76</v>
      </c>
      <c r="C6" s="28">
        <v>2</v>
      </c>
      <c r="D6" s="26" t="str">
        <f>IF(C6="","",_xlfn.IFERROR(INDEX(Settings!$B$13:$B$32,MATCH(C6,Settings!$A$13:$A$32,0)),""))</f>
        <v>Capital One Venture</v>
      </c>
      <c r="E6" s="29" t="s">
        <v>70</v>
      </c>
      <c r="F6" s="29"/>
      <c r="G6" s="29" t="s">
        <v>77</v>
      </c>
      <c r="H6" s="30">
        <v>250</v>
      </c>
      <c r="I6" s="30">
        <f t="shared" si="1"/>
        <v>2125.5</v>
      </c>
      <c r="J6" s="30">
        <f>IF(C6="","",IF(ROW()=2,_xlfn.IFERROR(INDEX(Settings!$E$13:$E$32,MATCH(C6,Settings!$A$13:$A$32,0)),0)+H6,IF(C6=C5,J5+H6,_xlfn.IFERROR(INDEX(Settings!$E$13:$E$32,MATCH(C6,Settings!$A$13:$A$32,0)),0)+H6)))</f>
        <v>2125.5</v>
      </c>
      <c r="K6" s="29" t="s">
        <v>78</v>
      </c>
      <c r="L6" s="26"/>
      <c r="M6" s="26"/>
    </row>
    <row r="7" ht="15" customHeight="1">
      <c r="A7" s="31" t="e">
        <f t="shared" si="0"/>
        <v>#VALUE!</v>
      </c>
      <c r="B7" s="32" t="s">
        <v>79</v>
      </c>
      <c r="C7" s="33">
        <v>1</v>
      </c>
      <c r="D7" s="31" t="str">
        <f>IF(C7="","",_xlfn.IFERROR(INDEX(Settings!$B$13:$B$32,MATCH(C7,Settings!$A$13:$A$32,0)),""))</f>
        <v>Chase Sapphire Reserve</v>
      </c>
      <c r="E7" s="11" t="s">
        <v>63</v>
      </c>
      <c r="F7" s="11" t="s">
        <v>80</v>
      </c>
      <c r="G7" s="11" t="s">
        <v>81</v>
      </c>
      <c r="H7" s="34">
        <v>-215.75</v>
      </c>
      <c r="I7" s="34">
        <f t="shared" si="1"/>
        <v>3034.25</v>
      </c>
      <c r="J7" s="34">
        <f>IF(C7="","",IF(ROW()=2,_xlfn.IFERROR(INDEX(Settings!$E$13:$E$32,MATCH(C7,Settings!$A$13:$A$32,0)),0)+H7,IF(C7=C6,J6+H7,_xlfn.IFERROR(INDEX(Settings!$E$13:$E$32,MATCH(C7,Settings!$A$13:$A$32,0)),0)+H7)))</f>
        <v>3034.25</v>
      </c>
      <c r="K7" s="11" t="s">
        <v>25</v>
      </c>
      <c r="L7" s="31"/>
      <c r="M7" s="31"/>
    </row>
    <row r="8" ht="15" customHeight="1">
      <c r="A8" s="26" t="e">
        <f t="shared" si="0"/>
        <v>#VALUE!</v>
      </c>
      <c r="B8" s="27" t="s">
        <v>82</v>
      </c>
      <c r="C8" s="28">
        <v>3</v>
      </c>
      <c r="D8" s="26" t="str">
        <f>IF(C8="","",_xlfn.IFERROR(INDEX(Settings!$B$13:$B$32,MATCH(C8,Settings!$A$13:$A$32,0)),""))</f>
        <v>Citi Double Cash</v>
      </c>
      <c r="E8" s="29" t="s">
        <v>70</v>
      </c>
      <c r="F8" s="29"/>
      <c r="G8" s="29" t="s">
        <v>71</v>
      </c>
      <c r="H8" s="30">
        <v>150</v>
      </c>
      <c r="I8" s="30">
        <f t="shared" si="1"/>
        <v>1130.75</v>
      </c>
      <c r="J8" s="30">
        <f>IF(C8="","",IF(ROW()=2,_xlfn.IFERROR(INDEX(Settings!$E$13:$E$32,MATCH(C8,Settings!$A$13:$A$32,0)),0)+H8,IF(C8=C7,J7+H8,_xlfn.IFERROR(INDEX(Settings!$E$13:$E$32,MATCH(C8,Settings!$A$13:$A$32,0)),0)+H8)))</f>
        <v>1130.75</v>
      </c>
      <c r="K8" s="29" t="s">
        <v>72</v>
      </c>
      <c r="L8" s="26"/>
      <c r="M8" s="26"/>
    </row>
    <row r="9" ht="15" customHeight="1">
      <c r="A9" s="31" t="e">
        <f t="shared" si="0"/>
        <v>#VALUE!</v>
      </c>
      <c r="B9" s="32" t="s">
        <v>83</v>
      </c>
      <c r="C9" s="33">
        <v>2</v>
      </c>
      <c r="D9" s="31" t="str">
        <f>IF(C9="","",_xlfn.IFERROR(INDEX(Settings!$B$13:$B$32,MATCH(C9,Settings!$A$13:$A$32,0)),""))</f>
        <v>Capital One Venture</v>
      </c>
      <c r="E9" s="11" t="s">
        <v>63</v>
      </c>
      <c r="F9" s="11" t="s">
        <v>84</v>
      </c>
      <c r="G9" s="11" t="s">
        <v>85</v>
      </c>
      <c r="H9" s="34">
        <v>-135.4</v>
      </c>
      <c r="I9" s="34">
        <f t="shared" si="1"/>
        <v>1740.1</v>
      </c>
      <c r="J9" s="34">
        <f>IF(C9="","",IF(ROW()=2,_xlfn.IFERROR(INDEX(Settings!$E$13:$E$32,MATCH(C9,Settings!$A$13:$A$32,0)),0)+H9,IF(C9=C8,J8+H9,_xlfn.IFERROR(INDEX(Settings!$E$13:$E$32,MATCH(C9,Settings!$A$13:$A$32,0)),0)+H9)))</f>
        <v>1740.1</v>
      </c>
      <c r="K9" s="11" t="s">
        <v>25</v>
      </c>
      <c r="L9" s="31"/>
      <c r="M9" s="31"/>
    </row>
    <row r="10" ht="15" customHeight="1">
      <c r="A10" s="26" t="e">
        <f t="shared" si="0"/>
        <v>#VALUE!</v>
      </c>
      <c r="B10" s="27" t="s">
        <v>86</v>
      </c>
      <c r="C10" s="28">
        <v>1</v>
      </c>
      <c r="D10" s="26" t="str">
        <f>IF(C10="","",_xlfn.IFERROR(INDEX(Settings!$B$13:$B$32,MATCH(C10,Settings!$A$13:$A$32,0)),""))</f>
        <v>Chase Sapphire Reserve</v>
      </c>
      <c r="E10" s="29" t="s">
        <v>87</v>
      </c>
      <c r="F10" s="29"/>
      <c r="G10" s="29" t="s">
        <v>88</v>
      </c>
      <c r="H10" s="30">
        <v>-54.8</v>
      </c>
      <c r="I10" s="30">
        <f t="shared" si="1"/>
        <v>3195.2</v>
      </c>
      <c r="J10" s="30">
        <f>IF(C10="","",IF(ROW()=2,_xlfn.IFERROR(INDEX(Settings!$E$13:$E$32,MATCH(C10,Settings!$A$13:$A$32,0)),0)+H10,IF(C10=C9,J9+H10,_xlfn.IFERROR(INDEX(Settings!$E$13:$E$32,MATCH(C10,Settings!$A$13:$A$32,0)),0)+H10)))</f>
        <v>3195.2</v>
      </c>
      <c r="K10" s="29"/>
      <c r="L10" s="26"/>
      <c r="M10" s="26"/>
    </row>
    <row r="11" ht="15" customHeight="1">
      <c r="A11" s="31" t="e">
        <f t="shared" si="0"/>
        <v>#VALUE!</v>
      </c>
      <c r="B11" s="32" t="s">
        <v>89</v>
      </c>
      <c r="C11" s="33">
        <v>3</v>
      </c>
      <c r="D11" s="31" t="str">
        <f>IF(C11="","",_xlfn.IFERROR(INDEX(Settings!$B$13:$B$32,MATCH(C11,Settings!$A$13:$A$32,0)),""))</f>
        <v>Citi Double Cash</v>
      </c>
      <c r="E11" s="11" t="s">
        <v>63</v>
      </c>
      <c r="F11" s="11" t="s">
        <v>67</v>
      </c>
      <c r="G11" s="11" t="s">
        <v>90</v>
      </c>
      <c r="H11" s="34">
        <v>-42</v>
      </c>
      <c r="I11" s="34">
        <f t="shared" si="1"/>
        <v>938.75</v>
      </c>
      <c r="J11" s="34">
        <f>IF(C11="","",IF(ROW()=2,_xlfn.IFERROR(INDEX(Settings!$E$13:$E$32,MATCH(C11,Settings!$A$13:$A$32,0)),0)+H11,IF(C11=C10,J10+H11,_xlfn.IFERROR(INDEX(Settings!$E$13:$E$32,MATCH(C11,Settings!$A$13:$A$32,0)),0)+H11)))</f>
        <v>938.75</v>
      </c>
      <c r="K11" s="11" t="s">
        <v>25</v>
      </c>
      <c r="L11" s="31"/>
      <c r="M11" s="31"/>
    </row>
    <row r="12" ht="15" customHeight="1">
      <c r="A12" s="26" t="e">
        <f t="shared" si="0"/>
        <v>#VALUE!</v>
      </c>
      <c r="B12" s="27" t="s">
        <v>91</v>
      </c>
      <c r="C12" s="28">
        <v>2</v>
      </c>
      <c r="D12" s="26" t="str">
        <f>IF(C12="","",_xlfn.IFERROR(INDEX(Settings!$B$13:$B$32,MATCH(C12,Settings!$A$13:$A$32,0)),""))</f>
        <v>Capital One Venture</v>
      </c>
      <c r="E12" s="29" t="s">
        <v>87</v>
      </c>
      <c r="F12" s="29"/>
      <c r="G12" s="29" t="s">
        <v>88</v>
      </c>
      <c r="H12" s="30">
        <v>-33.65</v>
      </c>
      <c r="I12" s="30">
        <f t="shared" si="1"/>
        <v>1841.85</v>
      </c>
      <c r="J12" s="30">
        <f>IF(C12="","",IF(ROW()=2,_xlfn.IFERROR(INDEX(Settings!$E$13:$E$32,MATCH(C12,Settings!$A$13:$A$32,0)),0)+H12,IF(C12=C11,J11+H12,_xlfn.IFERROR(INDEX(Settings!$E$13:$E$32,MATCH(C12,Settings!$A$13:$A$32,0)),0)+H12)))</f>
        <v>1841.85</v>
      </c>
      <c r="K12" s="29"/>
      <c r="L12" s="26"/>
      <c r="M12" s="26"/>
    </row>
    <row r="13" ht="15" customHeight="1">
      <c r="A13" s="31" t="e">
        <f t="shared" si="0"/>
        <v>#VALUE!</v>
      </c>
      <c r="B13" s="32" t="s">
        <v>92</v>
      </c>
      <c r="C13" s="33">
        <v>1</v>
      </c>
      <c r="D13" s="31" t="str">
        <f>IF(C13="","",_xlfn.IFERROR(INDEX(Settings!$B$13:$B$32,MATCH(C13,Settings!$A$13:$A$32,0)),""))</f>
        <v>Chase Sapphire Reserve</v>
      </c>
      <c r="E13" s="11" t="s">
        <v>70</v>
      </c>
      <c r="F13" s="11"/>
      <c r="G13" s="11" t="s">
        <v>70</v>
      </c>
      <c r="H13" s="34">
        <v>600</v>
      </c>
      <c r="I13" s="34">
        <f t="shared" si="1"/>
        <v>3850</v>
      </c>
      <c r="J13" s="34">
        <f>IF(C13="","",IF(ROW()=2,_xlfn.IFERROR(INDEX(Settings!$E$13:$E$32,MATCH(C13,Settings!$A$13:$A$32,0)),0)+H13,IF(C13=C12,J12+H13,_xlfn.IFERROR(INDEX(Settings!$E$13:$E$32,MATCH(C13,Settings!$A$13:$A$32,0)),0)+H13)))</f>
        <v>3850</v>
      </c>
      <c r="K13" s="11" t="s">
        <v>78</v>
      </c>
      <c r="L13" s="31"/>
      <c r="M13" s="31"/>
    </row>
    <row r="14" ht="15" customHeight="1">
      <c r="A14" s="26" t="str">
        <f t="shared" si="0"/>
        <v/>
      </c>
      <c r="B14" s="27"/>
      <c r="C14" s="26"/>
      <c r="D14" s="26" t="str">
        <f>IF(C14="","",_xlfn.IFERROR(INDEX(Settings!$B$13:$B$32,MATCH(C14,Settings!$A$13:$A$32,0)),""))</f>
        <v/>
      </c>
      <c r="E14" s="26"/>
      <c r="F14" s="26"/>
      <c r="G14" s="26"/>
      <c r="H14" s="30"/>
      <c r="I14" s="30" t="str">
        <f t="shared" si="1"/>
        <v/>
      </c>
      <c r="J14" s="30" t="str">
        <f>IF(C14="","",IF(ROW()=2,_xlfn.IFERROR(INDEX(Settings!$E$13:$E$32,MATCH(C14,Settings!$A$13:$A$32,0)),0)+H14,IF(C14=C13,J13+H14,_xlfn.IFERROR(INDEX(Settings!$E$13:$E$32,MATCH(C14,Settings!$A$13:$A$32,0)),0)+H14)))</f>
        <v/>
      </c>
      <c r="K14" s="26"/>
      <c r="L14" s="26"/>
      <c r="M14" s="26"/>
    </row>
    <row r="15" ht="15" customHeight="1">
      <c r="A15" s="31" t="str">
        <f t="shared" si="0"/>
        <v/>
      </c>
      <c r="B15" s="32"/>
      <c r="C15" s="31"/>
      <c r="D15" s="31" t="str">
        <f>IF(C15="","",_xlfn.IFERROR(INDEX(Settings!$B$13:$B$32,MATCH(C15,Settings!$A$13:$A$32,0)),""))</f>
        <v/>
      </c>
      <c r="E15" s="31"/>
      <c r="F15" s="31"/>
      <c r="G15" s="31"/>
      <c r="H15" s="34"/>
      <c r="I15" s="34" t="str">
        <f t="shared" si="1"/>
        <v/>
      </c>
      <c r="J15" s="34" t="str">
        <f>IF(C15="","",IF(ROW()=2,_xlfn.IFERROR(INDEX(Settings!$E$13:$E$32,MATCH(C15,Settings!$A$13:$A$32,0)),0)+H15,IF(C15=C14,J14+H15,_xlfn.IFERROR(INDEX(Settings!$E$13:$E$32,MATCH(C15,Settings!$A$13:$A$32,0)),0)+H15)))</f>
        <v/>
      </c>
      <c r="K15" s="31"/>
      <c r="L15" s="31"/>
      <c r="M15" s="31"/>
    </row>
    <row r="16" ht="15" customHeight="1">
      <c r="A16" s="26" t="str">
        <f t="shared" si="0"/>
        <v/>
      </c>
      <c r="B16" s="27"/>
      <c r="C16" s="26"/>
      <c r="D16" s="26" t="str">
        <f>IF(C16="","",_xlfn.IFERROR(INDEX(Settings!$B$13:$B$32,MATCH(C16,Settings!$A$13:$A$32,0)),""))</f>
        <v/>
      </c>
      <c r="E16" s="26"/>
      <c r="F16" s="26"/>
      <c r="G16" s="26"/>
      <c r="H16" s="30"/>
      <c r="I16" s="30" t="str">
        <f t="shared" si="1"/>
        <v/>
      </c>
      <c r="J16" s="30" t="str">
        <f>IF(C16="","",IF(ROW()=2,_xlfn.IFERROR(INDEX(Settings!$E$13:$E$32,MATCH(C16,Settings!$A$13:$A$32,0)),0)+H16,IF(C16=C15,J15+H16,_xlfn.IFERROR(INDEX(Settings!$E$13:$E$32,MATCH(C16,Settings!$A$13:$A$32,0)),0)+H16)))</f>
        <v/>
      </c>
      <c r="K16" s="26"/>
      <c r="L16" s="26"/>
      <c r="M16" s="26"/>
    </row>
    <row r="17" ht="15" customHeight="1">
      <c r="A17" s="31" t="str">
        <f t="shared" si="0"/>
        <v/>
      </c>
      <c r="B17" s="32"/>
      <c r="C17" s="31"/>
      <c r="D17" s="31" t="str">
        <f>IF(C17="","",_xlfn.IFERROR(INDEX(Settings!$B$13:$B$32,MATCH(C17,Settings!$A$13:$A$32,0)),""))</f>
        <v/>
      </c>
      <c r="E17" s="31"/>
      <c r="F17" s="31"/>
      <c r="G17" s="31"/>
      <c r="H17" s="34"/>
      <c r="I17" s="34" t="str">
        <f t="shared" si="1"/>
        <v/>
      </c>
      <c r="J17" s="34" t="str">
        <f>IF(C17="","",IF(ROW()=2,_xlfn.IFERROR(INDEX(Settings!$E$13:$E$32,MATCH(C17,Settings!$A$13:$A$32,0)),0)+H17,IF(C17=C16,J16+H17,_xlfn.IFERROR(INDEX(Settings!$E$13:$E$32,MATCH(C17,Settings!$A$13:$A$32,0)),0)+H17)))</f>
        <v/>
      </c>
      <c r="K17" s="31"/>
      <c r="L17" s="31"/>
      <c r="M17" s="31"/>
    </row>
    <row r="18" ht="15" customHeight="1">
      <c r="A18" s="26" t="str">
        <f t="shared" si="0"/>
        <v/>
      </c>
      <c r="B18" s="27"/>
      <c r="C18" s="26"/>
      <c r="D18" s="26" t="str">
        <f>IF(C18="","",_xlfn.IFERROR(INDEX(Settings!$B$13:$B$32,MATCH(C18,Settings!$A$13:$A$32,0)),""))</f>
        <v/>
      </c>
      <c r="E18" s="26"/>
      <c r="F18" s="26"/>
      <c r="G18" s="26"/>
      <c r="H18" s="30"/>
      <c r="I18" s="30" t="str">
        <f t="shared" si="1"/>
        <v/>
      </c>
      <c r="J18" s="30" t="str">
        <f>IF(C18="","",IF(ROW()=2,_xlfn.IFERROR(INDEX(Settings!$E$13:$E$32,MATCH(C18,Settings!$A$13:$A$32,0)),0)+H18,IF(C18=C17,J17+H18,_xlfn.IFERROR(INDEX(Settings!$E$13:$E$32,MATCH(C18,Settings!$A$13:$A$32,0)),0)+H18)))</f>
        <v/>
      </c>
      <c r="K18" s="26"/>
      <c r="L18" s="26"/>
      <c r="M18" s="26"/>
    </row>
    <row r="19" ht="15" customHeight="1">
      <c r="A19" s="31" t="str">
        <f t="shared" si="0"/>
        <v/>
      </c>
      <c r="B19" s="32"/>
      <c r="C19" s="31"/>
      <c r="D19" s="31" t="str">
        <f>IF(C19="","",_xlfn.IFERROR(INDEX(Settings!$B$13:$B$32,MATCH(C19,Settings!$A$13:$A$32,0)),""))</f>
        <v/>
      </c>
      <c r="E19" s="31"/>
      <c r="F19" s="31"/>
      <c r="G19" s="31"/>
      <c r="H19" s="34"/>
      <c r="I19" s="34" t="str">
        <f t="shared" si="1"/>
        <v/>
      </c>
      <c r="J19" s="34" t="str">
        <f>IF(C19="","",IF(ROW()=2,_xlfn.IFERROR(INDEX(Settings!$E$13:$E$32,MATCH(C19,Settings!$A$13:$A$32,0)),0)+H19,IF(C19=C18,J18+H19,_xlfn.IFERROR(INDEX(Settings!$E$13:$E$32,MATCH(C19,Settings!$A$13:$A$32,0)),0)+H19)))</f>
        <v/>
      </c>
      <c r="K19" s="31"/>
      <c r="L19" s="31"/>
      <c r="M19" s="31"/>
    </row>
    <row r="20" ht="15" customHeight="1">
      <c r="A20" s="26" t="str">
        <f t="shared" si="0"/>
        <v/>
      </c>
      <c r="B20" s="27"/>
      <c r="C20" s="26"/>
      <c r="D20" s="26" t="str">
        <f>IF(C20="","",_xlfn.IFERROR(INDEX(Settings!$B$13:$B$32,MATCH(C20,Settings!$A$13:$A$32,0)),""))</f>
        <v/>
      </c>
      <c r="E20" s="26"/>
      <c r="F20" s="26"/>
      <c r="G20" s="26"/>
      <c r="H20" s="30"/>
      <c r="I20" s="30" t="str">
        <f t="shared" si="1"/>
        <v/>
      </c>
      <c r="J20" s="30" t="str">
        <f>IF(C20="","",IF(ROW()=2,_xlfn.IFERROR(INDEX(Settings!$E$13:$E$32,MATCH(C20,Settings!$A$13:$A$32,0)),0)+H20,IF(C20=C19,J19+H20,_xlfn.IFERROR(INDEX(Settings!$E$13:$E$32,MATCH(C20,Settings!$A$13:$A$32,0)),0)+H20)))</f>
        <v/>
      </c>
      <c r="K20" s="26"/>
      <c r="L20" s="26"/>
      <c r="M20" s="26"/>
    </row>
    <row r="21" ht="15" customHeight="1">
      <c r="A21" s="31" t="str">
        <f t="shared" si="0"/>
        <v/>
      </c>
      <c r="B21" s="32"/>
      <c r="C21" s="31"/>
      <c r="D21" s="31" t="str">
        <f>IF(C21="","",_xlfn.IFERROR(INDEX(Settings!$B$13:$B$32,MATCH(C21,Settings!$A$13:$A$32,0)),""))</f>
        <v/>
      </c>
      <c r="E21" s="31"/>
      <c r="F21" s="31"/>
      <c r="G21" s="31"/>
      <c r="H21" s="34"/>
      <c r="I21" s="34" t="str">
        <f t="shared" si="1"/>
        <v/>
      </c>
      <c r="J21" s="34" t="str">
        <f>IF(C21="","",IF(ROW()=2,_xlfn.IFERROR(INDEX(Settings!$E$13:$E$32,MATCH(C21,Settings!$A$13:$A$32,0)),0)+H21,IF(C21=C20,J20+H21,_xlfn.IFERROR(INDEX(Settings!$E$13:$E$32,MATCH(C21,Settings!$A$13:$A$32,0)),0)+H21)))</f>
        <v/>
      </c>
      <c r="K21" s="31"/>
      <c r="L21" s="31"/>
      <c r="M21" s="31"/>
    </row>
    <row r="22" ht="15" customHeight="1">
      <c r="A22" s="26" t="str">
        <f t="shared" si="0"/>
        <v/>
      </c>
      <c r="B22" s="27"/>
      <c r="C22" s="26"/>
      <c r="D22" s="26" t="str">
        <f>IF(C22="","",_xlfn.IFERROR(INDEX(Settings!$B$13:$B$32,MATCH(C22,Settings!$A$13:$A$32,0)),""))</f>
        <v/>
      </c>
      <c r="E22" s="26"/>
      <c r="F22" s="26"/>
      <c r="G22" s="26"/>
      <c r="H22" s="30"/>
      <c r="I22" s="30" t="str">
        <f t="shared" si="1"/>
        <v/>
      </c>
      <c r="J22" s="30" t="str">
        <f>IF(C22="","",IF(ROW()=2,_xlfn.IFERROR(INDEX(Settings!$E$13:$E$32,MATCH(C22,Settings!$A$13:$A$32,0)),0)+H22,IF(C22=C21,J21+H22,_xlfn.IFERROR(INDEX(Settings!$E$13:$E$32,MATCH(C22,Settings!$A$13:$A$32,0)),0)+H22)))</f>
        <v/>
      </c>
      <c r="K22" s="26"/>
      <c r="L22" s="26"/>
      <c r="M22" s="26"/>
    </row>
    <row r="23" ht="15" customHeight="1">
      <c r="A23" s="31" t="str">
        <f t="shared" si="0"/>
        <v/>
      </c>
      <c r="B23" s="32"/>
      <c r="C23" s="31"/>
      <c r="D23" s="31" t="str">
        <f>IF(C23="","",_xlfn.IFERROR(INDEX(Settings!$B$13:$B$32,MATCH(C23,Settings!$A$13:$A$32,0)),""))</f>
        <v/>
      </c>
      <c r="E23" s="31"/>
      <c r="F23" s="31"/>
      <c r="G23" s="31"/>
      <c r="H23" s="34"/>
      <c r="I23" s="34" t="str">
        <f t="shared" si="1"/>
        <v/>
      </c>
      <c r="J23" s="34" t="str">
        <f>IF(C23="","",IF(ROW()=2,_xlfn.IFERROR(INDEX(Settings!$E$13:$E$32,MATCH(C23,Settings!$A$13:$A$32,0)),0)+H23,IF(C23=C22,J22+H23,_xlfn.IFERROR(INDEX(Settings!$E$13:$E$32,MATCH(C23,Settings!$A$13:$A$32,0)),0)+H23)))</f>
        <v/>
      </c>
      <c r="K23" s="31"/>
      <c r="L23" s="31"/>
      <c r="M23" s="31"/>
    </row>
    <row r="24" ht="15" customHeight="1">
      <c r="A24" s="26" t="str">
        <f t="shared" si="0"/>
        <v/>
      </c>
      <c r="B24" s="27"/>
      <c r="C24" s="26"/>
      <c r="D24" s="26" t="str">
        <f>IF(C24="","",_xlfn.IFERROR(INDEX(Settings!$B$13:$B$32,MATCH(C24,Settings!$A$13:$A$32,0)),""))</f>
        <v/>
      </c>
      <c r="E24" s="26"/>
      <c r="F24" s="26"/>
      <c r="G24" s="26"/>
      <c r="H24" s="30"/>
      <c r="I24" s="30" t="str">
        <f t="shared" si="1"/>
        <v/>
      </c>
      <c r="J24" s="30" t="str">
        <f>IF(C24="","",IF(ROW()=2,_xlfn.IFERROR(INDEX(Settings!$E$13:$E$32,MATCH(C24,Settings!$A$13:$A$32,0)),0)+H24,IF(C24=C23,J23+H24,_xlfn.IFERROR(INDEX(Settings!$E$13:$E$32,MATCH(C24,Settings!$A$13:$A$32,0)),0)+H24)))</f>
        <v/>
      </c>
      <c r="K24" s="26"/>
      <c r="L24" s="26"/>
      <c r="M24" s="26"/>
    </row>
    <row r="25" ht="15" customHeight="1">
      <c r="A25" s="31" t="str">
        <f t="shared" si="0"/>
        <v/>
      </c>
      <c r="B25" s="32"/>
      <c r="C25" s="31"/>
      <c r="D25" s="31" t="str">
        <f>IF(C25="","",_xlfn.IFERROR(INDEX(Settings!$B$13:$B$32,MATCH(C25,Settings!$A$13:$A$32,0)),""))</f>
        <v/>
      </c>
      <c r="E25" s="31"/>
      <c r="F25" s="31"/>
      <c r="G25" s="31"/>
      <c r="H25" s="34"/>
      <c r="I25" s="34" t="str">
        <f t="shared" si="1"/>
        <v/>
      </c>
      <c r="J25" s="34" t="str">
        <f>IF(C25="","",IF(ROW()=2,_xlfn.IFERROR(INDEX(Settings!$E$13:$E$32,MATCH(C25,Settings!$A$13:$A$32,0)),0)+H25,IF(C25=C24,J24+H25,_xlfn.IFERROR(INDEX(Settings!$E$13:$E$32,MATCH(C25,Settings!$A$13:$A$32,0)),0)+H25)))</f>
        <v/>
      </c>
      <c r="K25" s="31"/>
      <c r="L25" s="31"/>
      <c r="M25" s="31"/>
    </row>
    <row r="26" ht="15" customHeight="1">
      <c r="A26" s="26" t="str">
        <f t="shared" si="0"/>
        <v/>
      </c>
      <c r="B26" s="27"/>
      <c r="C26" s="26"/>
      <c r="D26" s="26" t="str">
        <f>IF(C26="","",_xlfn.IFERROR(INDEX(Settings!$B$13:$B$32,MATCH(C26,Settings!$A$13:$A$32,0)),""))</f>
        <v/>
      </c>
      <c r="E26" s="26"/>
      <c r="F26" s="26"/>
      <c r="G26" s="26"/>
      <c r="H26" s="30"/>
      <c r="I26" s="30" t="str">
        <f t="shared" si="1"/>
        <v/>
      </c>
      <c r="J26" s="30" t="str">
        <f>IF(C26="","",IF(ROW()=2,_xlfn.IFERROR(INDEX(Settings!$E$13:$E$32,MATCH(C26,Settings!$A$13:$A$32,0)),0)+H26,IF(C26=C25,J25+H26,_xlfn.IFERROR(INDEX(Settings!$E$13:$E$32,MATCH(C26,Settings!$A$13:$A$32,0)),0)+H26)))</f>
        <v/>
      </c>
      <c r="K26" s="26"/>
      <c r="L26" s="26"/>
      <c r="M26" s="26"/>
    </row>
    <row r="27" ht="15" customHeight="1">
      <c r="A27" s="31" t="str">
        <f t="shared" si="0"/>
        <v/>
      </c>
      <c r="B27" s="32"/>
      <c r="C27" s="31"/>
      <c r="D27" s="31" t="str">
        <f>IF(C27="","",_xlfn.IFERROR(INDEX(Settings!$B$13:$B$32,MATCH(C27,Settings!$A$13:$A$32,0)),""))</f>
        <v/>
      </c>
      <c r="E27" s="31"/>
      <c r="F27" s="31"/>
      <c r="G27" s="31"/>
      <c r="H27" s="34"/>
      <c r="I27" s="34" t="str">
        <f t="shared" si="1"/>
        <v/>
      </c>
      <c r="J27" s="34" t="str">
        <f>IF(C27="","",IF(ROW()=2,_xlfn.IFERROR(INDEX(Settings!$E$13:$E$32,MATCH(C27,Settings!$A$13:$A$32,0)),0)+H27,IF(C27=C26,J26+H27,_xlfn.IFERROR(INDEX(Settings!$E$13:$E$32,MATCH(C27,Settings!$A$13:$A$32,0)),0)+H27)))</f>
        <v/>
      </c>
      <c r="K27" s="31"/>
      <c r="L27" s="31"/>
      <c r="M27" s="31"/>
    </row>
    <row r="28" ht="15" customHeight="1">
      <c r="A28" s="26" t="str">
        <f t="shared" si="0"/>
        <v/>
      </c>
      <c r="B28" s="27"/>
      <c r="C28" s="26"/>
      <c r="D28" s="26" t="str">
        <f>IF(C28="","",_xlfn.IFERROR(INDEX(Settings!$B$13:$B$32,MATCH(C28,Settings!$A$13:$A$32,0)),""))</f>
        <v/>
      </c>
      <c r="E28" s="26"/>
      <c r="F28" s="26"/>
      <c r="G28" s="26"/>
      <c r="H28" s="30"/>
      <c r="I28" s="30" t="str">
        <f t="shared" si="1"/>
        <v/>
      </c>
      <c r="J28" s="30" t="str">
        <f>IF(C28="","",IF(ROW()=2,_xlfn.IFERROR(INDEX(Settings!$E$13:$E$32,MATCH(C28,Settings!$A$13:$A$32,0)),0)+H28,IF(C28=C27,J27+H28,_xlfn.IFERROR(INDEX(Settings!$E$13:$E$32,MATCH(C28,Settings!$A$13:$A$32,0)),0)+H28)))</f>
        <v/>
      </c>
      <c r="K28" s="26"/>
      <c r="L28" s="26"/>
      <c r="M28" s="26"/>
    </row>
    <row r="29" ht="15" customHeight="1">
      <c r="A29" s="31" t="str">
        <f t="shared" si="0"/>
        <v/>
      </c>
      <c r="B29" s="32"/>
      <c r="C29" s="31"/>
      <c r="D29" s="31" t="str">
        <f>IF(C29="","",_xlfn.IFERROR(INDEX(Settings!$B$13:$B$32,MATCH(C29,Settings!$A$13:$A$32,0)),""))</f>
        <v/>
      </c>
      <c r="E29" s="31"/>
      <c r="F29" s="31"/>
      <c r="G29" s="31"/>
      <c r="H29" s="34"/>
      <c r="I29" s="34" t="str">
        <f t="shared" si="1"/>
        <v/>
      </c>
      <c r="J29" s="34" t="str">
        <f>IF(C29="","",IF(ROW()=2,_xlfn.IFERROR(INDEX(Settings!$E$13:$E$32,MATCH(C29,Settings!$A$13:$A$32,0)),0)+H29,IF(C29=C28,J28+H29,_xlfn.IFERROR(INDEX(Settings!$E$13:$E$32,MATCH(C29,Settings!$A$13:$A$32,0)),0)+H29)))</f>
        <v/>
      </c>
      <c r="K29" s="31"/>
      <c r="L29" s="31"/>
      <c r="M29" s="31"/>
    </row>
    <row r="30" ht="15" customHeight="1">
      <c r="A30" s="26" t="str">
        <f t="shared" si="0"/>
        <v/>
      </c>
      <c r="B30" s="27"/>
      <c r="C30" s="26"/>
      <c r="D30" s="26" t="str">
        <f>IF(C30="","",_xlfn.IFERROR(INDEX(Settings!$B$13:$B$32,MATCH(C30,Settings!$A$13:$A$32,0)),""))</f>
        <v/>
      </c>
      <c r="E30" s="26"/>
      <c r="F30" s="26"/>
      <c r="G30" s="26"/>
      <c r="H30" s="30"/>
      <c r="I30" s="30" t="str">
        <f t="shared" si="1"/>
        <v/>
      </c>
      <c r="J30" s="30" t="str">
        <f>IF(C30="","",IF(ROW()=2,_xlfn.IFERROR(INDEX(Settings!$E$13:$E$32,MATCH(C30,Settings!$A$13:$A$32,0)),0)+H30,IF(C30=C29,J29+H30,_xlfn.IFERROR(INDEX(Settings!$E$13:$E$32,MATCH(C30,Settings!$A$13:$A$32,0)),0)+H30)))</f>
        <v/>
      </c>
      <c r="K30" s="26"/>
      <c r="L30" s="26"/>
      <c r="M30" s="26"/>
    </row>
    <row r="31" ht="15" customHeight="1">
      <c r="A31" s="31" t="str">
        <f t="shared" si="0"/>
        <v/>
      </c>
      <c r="B31" s="32"/>
      <c r="C31" s="31"/>
      <c r="D31" s="31" t="str">
        <f>IF(C31="","",_xlfn.IFERROR(INDEX(Settings!$B$13:$B$32,MATCH(C31,Settings!$A$13:$A$32,0)),""))</f>
        <v/>
      </c>
      <c r="E31" s="31"/>
      <c r="F31" s="31"/>
      <c r="G31" s="31"/>
      <c r="H31" s="34"/>
      <c r="I31" s="34" t="str">
        <f t="shared" si="1"/>
        <v/>
      </c>
      <c r="J31" s="34" t="str">
        <f>IF(C31="","",IF(ROW()=2,_xlfn.IFERROR(INDEX(Settings!$E$13:$E$32,MATCH(C31,Settings!$A$13:$A$32,0)),0)+H31,IF(C31=C30,J30+H31,_xlfn.IFERROR(INDEX(Settings!$E$13:$E$32,MATCH(C31,Settings!$A$13:$A$32,0)),0)+H31)))</f>
        <v/>
      </c>
      <c r="K31" s="31"/>
      <c r="L31" s="31"/>
      <c r="M31" s="31"/>
    </row>
    <row r="32" ht="15" customHeight="1">
      <c r="A32" s="26" t="str">
        <f t="shared" si="0"/>
        <v/>
      </c>
      <c r="B32" s="27"/>
      <c r="C32" s="26"/>
      <c r="D32" s="26" t="str">
        <f>IF(C32="","",_xlfn.IFERROR(INDEX(Settings!$B$13:$B$32,MATCH(C32,Settings!$A$13:$A$32,0)),""))</f>
        <v/>
      </c>
      <c r="E32" s="26"/>
      <c r="F32" s="26"/>
      <c r="G32" s="26"/>
      <c r="H32" s="30"/>
      <c r="I32" s="30" t="str">
        <f t="shared" si="1"/>
        <v/>
      </c>
      <c r="J32" s="30" t="str">
        <f>IF(C32="","",IF(ROW()=2,_xlfn.IFERROR(INDEX(Settings!$E$13:$E$32,MATCH(C32,Settings!$A$13:$A$32,0)),0)+H32,IF(C32=C31,J31+H32,_xlfn.IFERROR(INDEX(Settings!$E$13:$E$32,MATCH(C32,Settings!$A$13:$A$32,0)),0)+H32)))</f>
        <v/>
      </c>
      <c r="K32" s="26"/>
      <c r="L32" s="26"/>
      <c r="M32" s="26"/>
    </row>
    <row r="33" ht="15" customHeight="1">
      <c r="A33" s="31" t="str">
        <f t="shared" si="0"/>
        <v/>
      </c>
      <c r="B33" s="32"/>
      <c r="C33" s="31"/>
      <c r="D33" s="31" t="str">
        <f>IF(C33="","",_xlfn.IFERROR(INDEX(Settings!$B$13:$B$32,MATCH(C33,Settings!$A$13:$A$32,0)),""))</f>
        <v/>
      </c>
      <c r="E33" s="31"/>
      <c r="F33" s="31"/>
      <c r="G33" s="31"/>
      <c r="H33" s="34"/>
      <c r="I33" s="34" t="str">
        <f t="shared" si="1"/>
        <v/>
      </c>
      <c r="J33" s="34" t="str">
        <f>IF(C33="","",IF(ROW()=2,_xlfn.IFERROR(INDEX(Settings!$E$13:$E$32,MATCH(C33,Settings!$A$13:$A$32,0)),0)+H33,IF(C33=C32,J32+H33,_xlfn.IFERROR(INDEX(Settings!$E$13:$E$32,MATCH(C33,Settings!$A$13:$A$32,0)),0)+H33)))</f>
        <v/>
      </c>
      <c r="K33" s="31"/>
      <c r="L33" s="31"/>
      <c r="M33" s="31"/>
    </row>
    <row r="34" ht="15" customHeight="1">
      <c r="A34" s="26" t="str">
        <f t="shared" si="0"/>
        <v/>
      </c>
      <c r="B34" s="27"/>
      <c r="C34" s="26"/>
      <c r="D34" s="26" t="str">
        <f>IF(C34="","",_xlfn.IFERROR(INDEX(Settings!$B$13:$B$32,MATCH(C34,Settings!$A$13:$A$32,0)),""))</f>
        <v/>
      </c>
      <c r="E34" s="26"/>
      <c r="F34" s="26"/>
      <c r="G34" s="26"/>
      <c r="H34" s="30"/>
      <c r="I34" s="30" t="str">
        <f t="shared" si="1"/>
        <v/>
      </c>
      <c r="J34" s="30" t="str">
        <f>IF(C34="","",IF(ROW()=2,_xlfn.IFERROR(INDEX(Settings!$E$13:$E$32,MATCH(C34,Settings!$A$13:$A$32,0)),0)+H34,IF(C34=C33,J33+H34,_xlfn.IFERROR(INDEX(Settings!$E$13:$E$32,MATCH(C34,Settings!$A$13:$A$32,0)),0)+H34)))</f>
        <v/>
      </c>
      <c r="K34" s="26"/>
      <c r="L34" s="26"/>
      <c r="M34" s="26"/>
    </row>
    <row r="35" ht="15" customHeight="1">
      <c r="A35" s="31" t="str">
        <f t="shared" si="0"/>
        <v/>
      </c>
      <c r="B35" s="32"/>
      <c r="C35" s="31"/>
      <c r="D35" s="31" t="str">
        <f>IF(C35="","",_xlfn.IFERROR(INDEX(Settings!$B$13:$B$32,MATCH(C35,Settings!$A$13:$A$32,0)),""))</f>
        <v/>
      </c>
      <c r="E35" s="31"/>
      <c r="F35" s="31"/>
      <c r="G35" s="31"/>
      <c r="H35" s="34"/>
      <c r="I35" s="34" t="str">
        <f t="shared" si="1"/>
        <v/>
      </c>
      <c r="J35" s="34" t="str">
        <f>IF(C35="","",IF(ROW()=2,_xlfn.IFERROR(INDEX(Settings!$E$13:$E$32,MATCH(C35,Settings!$A$13:$A$32,0)),0)+H35,IF(C35=C34,J34+H35,_xlfn.IFERROR(INDEX(Settings!$E$13:$E$32,MATCH(C35,Settings!$A$13:$A$32,0)),0)+H35)))</f>
        <v/>
      </c>
      <c r="K35" s="31"/>
      <c r="L35" s="31"/>
      <c r="M35" s="31"/>
    </row>
    <row r="36" ht="15" customHeight="1">
      <c r="A36" s="26" t="str">
        <f t="shared" si="0"/>
        <v/>
      </c>
      <c r="B36" s="27"/>
      <c r="C36" s="26"/>
      <c r="D36" s="26" t="str">
        <f>IF(C36="","",_xlfn.IFERROR(INDEX(Settings!$B$13:$B$32,MATCH(C36,Settings!$A$13:$A$32,0)),""))</f>
        <v/>
      </c>
      <c r="E36" s="26"/>
      <c r="F36" s="26"/>
      <c r="G36" s="26"/>
      <c r="H36" s="30"/>
      <c r="I36" s="30" t="str">
        <f t="shared" si="1"/>
        <v/>
      </c>
      <c r="J36" s="30" t="str">
        <f>IF(C36="","",IF(ROW()=2,_xlfn.IFERROR(INDEX(Settings!$E$13:$E$32,MATCH(C36,Settings!$A$13:$A$32,0)),0)+H36,IF(C36=C35,J35+H36,_xlfn.IFERROR(INDEX(Settings!$E$13:$E$32,MATCH(C36,Settings!$A$13:$A$32,0)),0)+H36)))</f>
        <v/>
      </c>
      <c r="K36" s="26"/>
      <c r="L36" s="26"/>
      <c r="M36" s="26"/>
    </row>
    <row r="37" ht="15" customHeight="1">
      <c r="A37" s="31" t="str">
        <f t="shared" si="0"/>
        <v/>
      </c>
      <c r="B37" s="32"/>
      <c r="C37" s="31"/>
      <c r="D37" s="31" t="str">
        <f>IF(C37="","",_xlfn.IFERROR(INDEX(Settings!$B$13:$B$32,MATCH(C37,Settings!$A$13:$A$32,0)),""))</f>
        <v/>
      </c>
      <c r="E37" s="31"/>
      <c r="F37" s="31"/>
      <c r="G37" s="31"/>
      <c r="H37" s="34"/>
      <c r="I37" s="34" t="str">
        <f t="shared" si="1"/>
        <v/>
      </c>
      <c r="J37" s="34" t="str">
        <f>IF(C37="","",IF(ROW()=2,_xlfn.IFERROR(INDEX(Settings!$E$13:$E$32,MATCH(C37,Settings!$A$13:$A$32,0)),0)+H37,IF(C37=C36,J36+H37,_xlfn.IFERROR(INDEX(Settings!$E$13:$E$32,MATCH(C37,Settings!$A$13:$A$32,0)),0)+H37)))</f>
        <v/>
      </c>
      <c r="K37" s="31"/>
      <c r="L37" s="31"/>
      <c r="M37" s="31"/>
    </row>
    <row r="38" ht="15" customHeight="1">
      <c r="A38" s="26" t="str">
        <f t="shared" si="0"/>
        <v/>
      </c>
      <c r="B38" s="27"/>
      <c r="C38" s="26"/>
      <c r="D38" s="26" t="str">
        <f>IF(C38="","",_xlfn.IFERROR(INDEX(Settings!$B$13:$B$32,MATCH(C38,Settings!$A$13:$A$32,0)),""))</f>
        <v/>
      </c>
      <c r="E38" s="26"/>
      <c r="F38" s="26"/>
      <c r="G38" s="26"/>
      <c r="H38" s="30"/>
      <c r="I38" s="30" t="str">
        <f t="shared" si="1"/>
        <v/>
      </c>
      <c r="J38" s="30" t="str">
        <f>IF(C38="","",IF(ROW()=2,_xlfn.IFERROR(INDEX(Settings!$E$13:$E$32,MATCH(C38,Settings!$A$13:$A$32,0)),0)+H38,IF(C38=C37,J37+H38,_xlfn.IFERROR(INDEX(Settings!$E$13:$E$32,MATCH(C38,Settings!$A$13:$A$32,0)),0)+H38)))</f>
        <v/>
      </c>
      <c r="K38" s="26"/>
      <c r="L38" s="26"/>
      <c r="M38" s="26"/>
    </row>
    <row r="39" ht="15" customHeight="1">
      <c r="A39" s="31" t="str">
        <f t="shared" si="0"/>
        <v/>
      </c>
      <c r="B39" s="32"/>
      <c r="C39" s="31"/>
      <c r="D39" s="31" t="str">
        <f>IF(C39="","",_xlfn.IFERROR(INDEX(Settings!$B$13:$B$32,MATCH(C39,Settings!$A$13:$A$32,0)),""))</f>
        <v/>
      </c>
      <c r="E39" s="31"/>
      <c r="F39" s="31"/>
      <c r="G39" s="31"/>
      <c r="H39" s="34"/>
      <c r="I39" s="34" t="str">
        <f t="shared" si="1"/>
        <v/>
      </c>
      <c r="J39" s="34" t="str">
        <f>IF(C39="","",IF(ROW()=2,_xlfn.IFERROR(INDEX(Settings!$E$13:$E$32,MATCH(C39,Settings!$A$13:$A$32,0)),0)+H39,IF(C39=C38,J38+H39,_xlfn.IFERROR(INDEX(Settings!$E$13:$E$32,MATCH(C39,Settings!$A$13:$A$32,0)),0)+H39)))</f>
        <v/>
      </c>
      <c r="K39" s="31"/>
      <c r="L39" s="31"/>
      <c r="M39" s="31"/>
    </row>
    <row r="40" ht="15" customHeight="1">
      <c r="A40" s="26" t="str">
        <f t="shared" si="0"/>
        <v/>
      </c>
      <c r="B40" s="27"/>
      <c r="C40" s="26"/>
      <c r="D40" s="26" t="str">
        <f>IF(C40="","",_xlfn.IFERROR(INDEX(Settings!$B$13:$B$32,MATCH(C40,Settings!$A$13:$A$32,0)),""))</f>
        <v/>
      </c>
      <c r="E40" s="26"/>
      <c r="F40" s="26"/>
      <c r="G40" s="26"/>
      <c r="H40" s="30"/>
      <c r="I40" s="30" t="str">
        <f t="shared" si="1"/>
        <v/>
      </c>
      <c r="J40" s="30" t="str">
        <f>IF(C40="","",IF(ROW()=2,_xlfn.IFERROR(INDEX(Settings!$E$13:$E$32,MATCH(C40,Settings!$A$13:$A$32,0)),0)+H40,IF(C40=C39,J39+H40,_xlfn.IFERROR(INDEX(Settings!$E$13:$E$32,MATCH(C40,Settings!$A$13:$A$32,0)),0)+H40)))</f>
        <v/>
      </c>
      <c r="K40" s="26"/>
      <c r="L40" s="26"/>
      <c r="M40" s="26"/>
    </row>
    <row r="41" ht="15" customHeight="1">
      <c r="A41" s="31" t="str">
        <f t="shared" si="0"/>
        <v/>
      </c>
      <c r="B41" s="32"/>
      <c r="C41" s="31"/>
      <c r="D41" s="31" t="str">
        <f>IF(C41="","",_xlfn.IFERROR(INDEX(Settings!$B$13:$B$32,MATCH(C41,Settings!$A$13:$A$32,0)),""))</f>
        <v/>
      </c>
      <c r="E41" s="31"/>
      <c r="F41" s="31"/>
      <c r="G41" s="31"/>
      <c r="H41" s="34"/>
      <c r="I41" s="34" t="str">
        <f t="shared" si="1"/>
        <v/>
      </c>
      <c r="J41" s="34" t="str">
        <f>IF(C41="","",IF(ROW()=2,_xlfn.IFERROR(INDEX(Settings!$E$13:$E$32,MATCH(C41,Settings!$A$13:$A$32,0)),0)+H41,IF(C41=C40,J40+H41,_xlfn.IFERROR(INDEX(Settings!$E$13:$E$32,MATCH(C41,Settings!$A$13:$A$32,0)),0)+H41)))</f>
        <v/>
      </c>
      <c r="K41" s="31"/>
      <c r="L41" s="31"/>
      <c r="M41" s="31"/>
    </row>
    <row r="42" ht="15" customHeight="1">
      <c r="A42" s="26" t="str">
        <f t="shared" si="0"/>
        <v/>
      </c>
      <c r="B42" s="27"/>
      <c r="C42" s="26"/>
      <c r="D42" s="26" t="str">
        <f>IF(C42="","",_xlfn.IFERROR(INDEX(Settings!$B$13:$B$32,MATCH(C42,Settings!$A$13:$A$32,0)),""))</f>
        <v/>
      </c>
      <c r="E42" s="26"/>
      <c r="F42" s="26"/>
      <c r="G42" s="26"/>
      <c r="H42" s="30"/>
      <c r="I42" s="30" t="str">
        <f t="shared" si="1"/>
        <v/>
      </c>
      <c r="J42" s="30" t="str">
        <f>IF(C42="","",IF(ROW()=2,_xlfn.IFERROR(INDEX(Settings!$E$13:$E$32,MATCH(C42,Settings!$A$13:$A$32,0)),0)+H42,IF(C42=C41,J41+H42,_xlfn.IFERROR(INDEX(Settings!$E$13:$E$32,MATCH(C42,Settings!$A$13:$A$32,0)),0)+H42)))</f>
        <v/>
      </c>
      <c r="K42" s="26"/>
      <c r="L42" s="26"/>
      <c r="M42" s="26"/>
    </row>
    <row r="43" ht="15" customHeight="1">
      <c r="A43" s="31" t="str">
        <f t="shared" si="0"/>
        <v/>
      </c>
      <c r="B43" s="32"/>
      <c r="C43" s="31"/>
      <c r="D43" s="31" t="str">
        <f>IF(C43="","",_xlfn.IFERROR(INDEX(Settings!$B$13:$B$32,MATCH(C43,Settings!$A$13:$A$32,0)),""))</f>
        <v/>
      </c>
      <c r="E43" s="31"/>
      <c r="F43" s="31"/>
      <c r="G43" s="31"/>
      <c r="H43" s="34"/>
      <c r="I43" s="34" t="str">
        <f t="shared" si="1"/>
        <v/>
      </c>
      <c r="J43" s="34" t="str">
        <f>IF(C43="","",IF(ROW()=2,_xlfn.IFERROR(INDEX(Settings!$E$13:$E$32,MATCH(C43,Settings!$A$13:$A$32,0)),0)+H43,IF(C43=C42,J42+H43,_xlfn.IFERROR(INDEX(Settings!$E$13:$E$32,MATCH(C43,Settings!$A$13:$A$32,0)),0)+H43)))</f>
        <v/>
      </c>
      <c r="K43" s="31"/>
      <c r="L43" s="31"/>
      <c r="M43" s="31"/>
    </row>
    <row r="44" ht="15" customHeight="1">
      <c r="A44" s="26" t="str">
        <f t="shared" si="0"/>
        <v/>
      </c>
      <c r="B44" s="27"/>
      <c r="C44" s="26"/>
      <c r="D44" s="26" t="str">
        <f>IF(C44="","",_xlfn.IFERROR(INDEX(Settings!$B$13:$B$32,MATCH(C44,Settings!$A$13:$A$32,0)),""))</f>
        <v/>
      </c>
      <c r="E44" s="26"/>
      <c r="F44" s="26"/>
      <c r="G44" s="26"/>
      <c r="H44" s="30"/>
      <c r="I44" s="30" t="str">
        <f t="shared" si="1"/>
        <v/>
      </c>
      <c r="J44" s="30" t="str">
        <f>IF(C44="","",IF(ROW()=2,_xlfn.IFERROR(INDEX(Settings!$E$13:$E$32,MATCH(C44,Settings!$A$13:$A$32,0)),0)+H44,IF(C44=C43,J43+H44,_xlfn.IFERROR(INDEX(Settings!$E$13:$E$32,MATCH(C44,Settings!$A$13:$A$32,0)),0)+H44)))</f>
        <v/>
      </c>
      <c r="K44" s="26"/>
      <c r="L44" s="26"/>
      <c r="M44" s="26"/>
    </row>
    <row r="45" ht="15" customHeight="1">
      <c r="A45" s="31" t="str">
        <f t="shared" si="0"/>
        <v/>
      </c>
      <c r="B45" s="32"/>
      <c r="C45" s="31"/>
      <c r="D45" s="31" t="str">
        <f>IF(C45="","",_xlfn.IFERROR(INDEX(Settings!$B$13:$B$32,MATCH(C45,Settings!$A$13:$A$32,0)),""))</f>
        <v/>
      </c>
      <c r="E45" s="31"/>
      <c r="F45" s="31"/>
      <c r="G45" s="31"/>
      <c r="H45" s="34"/>
      <c r="I45" s="34" t="str">
        <f t="shared" si="1"/>
        <v/>
      </c>
      <c r="J45" s="34" t="str">
        <f>IF(C45="","",IF(ROW()=2,_xlfn.IFERROR(INDEX(Settings!$E$13:$E$32,MATCH(C45,Settings!$A$13:$A$32,0)),0)+H45,IF(C45=C44,J44+H45,_xlfn.IFERROR(INDEX(Settings!$E$13:$E$32,MATCH(C45,Settings!$A$13:$A$32,0)),0)+H45)))</f>
        <v/>
      </c>
      <c r="K45" s="31"/>
      <c r="L45" s="31"/>
      <c r="M45" s="31"/>
    </row>
    <row r="46" ht="15" customHeight="1">
      <c r="A46" s="26" t="str">
        <f t="shared" si="0"/>
        <v/>
      </c>
      <c r="B46" s="27"/>
      <c r="C46" s="26"/>
      <c r="D46" s="26" t="str">
        <f>IF(C46="","",_xlfn.IFERROR(INDEX(Settings!$B$13:$B$32,MATCH(C46,Settings!$A$13:$A$32,0)),""))</f>
        <v/>
      </c>
      <c r="E46" s="26"/>
      <c r="F46" s="26"/>
      <c r="G46" s="26"/>
      <c r="H46" s="30"/>
      <c r="I46" s="30" t="str">
        <f t="shared" si="1"/>
        <v/>
      </c>
      <c r="J46" s="30" t="str">
        <f>IF(C46="","",IF(ROW()=2,_xlfn.IFERROR(INDEX(Settings!$E$13:$E$32,MATCH(C46,Settings!$A$13:$A$32,0)),0)+H46,IF(C46=C45,J45+H46,_xlfn.IFERROR(INDEX(Settings!$E$13:$E$32,MATCH(C46,Settings!$A$13:$A$32,0)),0)+H46)))</f>
        <v/>
      </c>
      <c r="K46" s="26"/>
      <c r="L46" s="26"/>
      <c r="M46" s="26"/>
    </row>
    <row r="47" ht="15" customHeight="1">
      <c r="A47" s="31" t="str">
        <f t="shared" si="0"/>
        <v/>
      </c>
      <c r="B47" s="32"/>
      <c r="C47" s="31"/>
      <c r="D47" s="31" t="str">
        <f>IF(C47="","",_xlfn.IFERROR(INDEX(Settings!$B$13:$B$32,MATCH(C47,Settings!$A$13:$A$32,0)),""))</f>
        <v/>
      </c>
      <c r="E47" s="31"/>
      <c r="F47" s="31"/>
      <c r="G47" s="31"/>
      <c r="H47" s="34"/>
      <c r="I47" s="34" t="str">
        <f t="shared" si="1"/>
        <v/>
      </c>
      <c r="J47" s="34" t="str">
        <f>IF(C47="","",IF(ROW()=2,_xlfn.IFERROR(INDEX(Settings!$E$13:$E$32,MATCH(C47,Settings!$A$13:$A$32,0)),0)+H47,IF(C47=C46,J46+H47,_xlfn.IFERROR(INDEX(Settings!$E$13:$E$32,MATCH(C47,Settings!$A$13:$A$32,0)),0)+H47)))</f>
        <v/>
      </c>
      <c r="K47" s="31"/>
      <c r="L47" s="31"/>
      <c r="M47" s="31"/>
    </row>
    <row r="48" ht="15" customHeight="1">
      <c r="A48" s="26" t="str">
        <f t="shared" si="0"/>
        <v/>
      </c>
      <c r="B48" s="27"/>
      <c r="C48" s="26"/>
      <c r="D48" s="26" t="str">
        <f>IF(C48="","",_xlfn.IFERROR(INDEX(Settings!$B$13:$B$32,MATCH(C48,Settings!$A$13:$A$32,0)),""))</f>
        <v/>
      </c>
      <c r="E48" s="26"/>
      <c r="F48" s="26"/>
      <c r="G48" s="26"/>
      <c r="H48" s="30"/>
      <c r="I48" s="30" t="str">
        <f t="shared" si="1"/>
        <v/>
      </c>
      <c r="J48" s="30" t="str">
        <f>IF(C48="","",IF(ROW()=2,_xlfn.IFERROR(INDEX(Settings!$E$13:$E$32,MATCH(C48,Settings!$A$13:$A$32,0)),0)+H48,IF(C48=C47,J47+H48,_xlfn.IFERROR(INDEX(Settings!$E$13:$E$32,MATCH(C48,Settings!$A$13:$A$32,0)),0)+H48)))</f>
        <v/>
      </c>
      <c r="K48" s="26"/>
      <c r="L48" s="26"/>
      <c r="M48" s="26"/>
    </row>
    <row r="49" ht="15" customHeight="1">
      <c r="A49" s="31" t="str">
        <f t="shared" si="0"/>
        <v/>
      </c>
      <c r="B49" s="32"/>
      <c r="C49" s="31"/>
      <c r="D49" s="31" t="str">
        <f>IF(C49="","",_xlfn.IFERROR(INDEX(Settings!$B$13:$B$32,MATCH(C49,Settings!$A$13:$A$32,0)),""))</f>
        <v/>
      </c>
      <c r="E49" s="31"/>
      <c r="F49" s="31"/>
      <c r="G49" s="31"/>
      <c r="H49" s="34"/>
      <c r="I49" s="34" t="str">
        <f t="shared" si="1"/>
        <v/>
      </c>
      <c r="J49" s="34" t="str">
        <f>IF(C49="","",IF(ROW()=2,_xlfn.IFERROR(INDEX(Settings!$E$13:$E$32,MATCH(C49,Settings!$A$13:$A$32,0)),0)+H49,IF(C49=C48,J48+H49,_xlfn.IFERROR(INDEX(Settings!$E$13:$E$32,MATCH(C49,Settings!$A$13:$A$32,0)),0)+H49)))</f>
        <v/>
      </c>
      <c r="K49" s="31"/>
      <c r="L49" s="31"/>
      <c r="M49" s="31"/>
    </row>
    <row r="50" ht="15" customHeight="1">
      <c r="A50" s="26" t="str">
        <f t="shared" si="0"/>
        <v/>
      </c>
      <c r="B50" s="27"/>
      <c r="C50" s="26"/>
      <c r="D50" s="26" t="str">
        <f>IF(C50="","",_xlfn.IFERROR(INDEX(Settings!$B$13:$B$32,MATCH(C50,Settings!$A$13:$A$32,0)),""))</f>
        <v/>
      </c>
      <c r="E50" s="26"/>
      <c r="F50" s="26"/>
      <c r="G50" s="26"/>
      <c r="H50" s="30"/>
      <c r="I50" s="30" t="str">
        <f t="shared" si="1"/>
        <v/>
      </c>
      <c r="J50" s="30" t="str">
        <f>IF(C50="","",IF(ROW()=2,_xlfn.IFERROR(INDEX(Settings!$E$13:$E$32,MATCH(C50,Settings!$A$13:$A$32,0)),0)+H50,IF(C50=C49,J49+H50,_xlfn.IFERROR(INDEX(Settings!$E$13:$E$32,MATCH(C50,Settings!$A$13:$A$32,0)),0)+H50)))</f>
        <v/>
      </c>
      <c r="K50" s="26"/>
      <c r="L50" s="26"/>
      <c r="M50" s="26"/>
    </row>
    <row r="51" ht="15" customHeight="1">
      <c r="A51" s="31" t="str">
        <f t="shared" si="0"/>
        <v/>
      </c>
      <c r="B51" s="32"/>
      <c r="C51" s="31"/>
      <c r="D51" s="31" t="str">
        <f>IF(C51="","",_xlfn.IFERROR(INDEX(Settings!$B$13:$B$32,MATCH(C51,Settings!$A$13:$A$32,0)),""))</f>
        <v/>
      </c>
      <c r="E51" s="31"/>
      <c r="F51" s="31"/>
      <c r="G51" s="31"/>
      <c r="H51" s="34"/>
      <c r="I51" s="34" t="str">
        <f t="shared" si="1"/>
        <v/>
      </c>
      <c r="J51" s="34" t="str">
        <f>IF(C51="","",IF(ROW()=2,_xlfn.IFERROR(INDEX(Settings!$E$13:$E$32,MATCH(C51,Settings!$A$13:$A$32,0)),0)+H51,IF(C51=C50,J50+H51,_xlfn.IFERROR(INDEX(Settings!$E$13:$E$32,MATCH(C51,Settings!$A$13:$A$32,0)),0)+H51)))</f>
        <v/>
      </c>
      <c r="K51" s="31"/>
      <c r="L51" s="31"/>
      <c r="M51" s="31"/>
    </row>
    <row r="52" ht="15" customHeight="1">
      <c r="A52" s="26" t="str">
        <f t="shared" si="0"/>
        <v/>
      </c>
      <c r="B52" s="27"/>
      <c r="C52" s="26"/>
      <c r="D52" s="26" t="str">
        <f>IF(C52="","",_xlfn.IFERROR(INDEX(Settings!$B$13:$B$32,MATCH(C52,Settings!$A$13:$A$32,0)),""))</f>
        <v/>
      </c>
      <c r="E52" s="26"/>
      <c r="F52" s="26"/>
      <c r="G52" s="26"/>
      <c r="H52" s="30"/>
      <c r="I52" s="30" t="str">
        <f t="shared" si="1"/>
        <v/>
      </c>
      <c r="J52" s="30" t="str">
        <f>IF(C52="","",IF(ROW()=2,_xlfn.IFERROR(INDEX(Settings!$E$13:$E$32,MATCH(C52,Settings!$A$13:$A$32,0)),0)+H52,IF(C52=C51,J51+H52,_xlfn.IFERROR(INDEX(Settings!$E$13:$E$32,MATCH(C52,Settings!$A$13:$A$32,0)),0)+H52)))</f>
        <v/>
      </c>
      <c r="K52" s="26"/>
      <c r="L52" s="26"/>
      <c r="M52" s="26"/>
    </row>
    <row r="53" ht="15" customHeight="1">
      <c r="A53" s="31" t="str">
        <f t="shared" si="0"/>
        <v/>
      </c>
      <c r="B53" s="32"/>
      <c r="C53" s="31"/>
      <c r="D53" s="31" t="str">
        <f>IF(C53="","",_xlfn.IFERROR(INDEX(Settings!$B$13:$B$32,MATCH(C53,Settings!$A$13:$A$32,0)),""))</f>
        <v/>
      </c>
      <c r="E53" s="31"/>
      <c r="F53" s="31"/>
      <c r="G53" s="31"/>
      <c r="H53" s="34"/>
      <c r="I53" s="34" t="str">
        <f t="shared" si="1"/>
        <v/>
      </c>
      <c r="J53" s="34" t="str">
        <f>IF(C53="","",IF(ROW()=2,_xlfn.IFERROR(INDEX(Settings!$E$13:$E$32,MATCH(C53,Settings!$A$13:$A$32,0)),0)+H53,IF(C53=C52,J52+H53,_xlfn.IFERROR(INDEX(Settings!$E$13:$E$32,MATCH(C53,Settings!$A$13:$A$32,0)),0)+H53)))</f>
        <v/>
      </c>
      <c r="K53" s="31"/>
      <c r="L53" s="31"/>
      <c r="M53" s="31"/>
    </row>
    <row r="54" ht="15" customHeight="1">
      <c r="A54" s="26" t="str">
        <f t="shared" si="0"/>
        <v/>
      </c>
      <c r="B54" s="27"/>
      <c r="C54" s="26"/>
      <c r="D54" s="26" t="str">
        <f>IF(C54="","",_xlfn.IFERROR(INDEX(Settings!$B$13:$B$32,MATCH(C54,Settings!$A$13:$A$32,0)),""))</f>
        <v/>
      </c>
      <c r="E54" s="26"/>
      <c r="F54" s="26"/>
      <c r="G54" s="26"/>
      <c r="H54" s="30"/>
      <c r="I54" s="30" t="str">
        <f t="shared" si="1"/>
        <v/>
      </c>
      <c r="J54" s="30" t="str">
        <f>IF(C54="","",IF(ROW()=2,_xlfn.IFERROR(INDEX(Settings!$E$13:$E$32,MATCH(C54,Settings!$A$13:$A$32,0)),0)+H54,IF(C54=C53,J53+H54,_xlfn.IFERROR(INDEX(Settings!$E$13:$E$32,MATCH(C54,Settings!$A$13:$A$32,0)),0)+H54)))</f>
        <v/>
      </c>
      <c r="K54" s="26"/>
      <c r="L54" s="26"/>
      <c r="M54" s="26"/>
    </row>
    <row r="55" ht="15" customHeight="1">
      <c r="A55" s="31" t="str">
        <f t="shared" si="0"/>
        <v/>
      </c>
      <c r="B55" s="32"/>
      <c r="C55" s="31"/>
      <c r="D55" s="31" t="str">
        <f>IF(C55="","",_xlfn.IFERROR(INDEX(Settings!$B$13:$B$32,MATCH(C55,Settings!$A$13:$A$32,0)),""))</f>
        <v/>
      </c>
      <c r="E55" s="31"/>
      <c r="F55" s="31"/>
      <c r="G55" s="31"/>
      <c r="H55" s="34"/>
      <c r="I55" s="34" t="str">
        <f t="shared" si="1"/>
        <v/>
      </c>
      <c r="J55" s="34" t="str">
        <f>IF(C55="","",IF(ROW()=2,_xlfn.IFERROR(INDEX(Settings!$E$13:$E$32,MATCH(C55,Settings!$A$13:$A$32,0)),0)+H55,IF(C55=C54,J54+H55,_xlfn.IFERROR(INDEX(Settings!$E$13:$E$32,MATCH(C55,Settings!$A$13:$A$32,0)),0)+H55)))</f>
        <v/>
      </c>
      <c r="K55" s="31"/>
      <c r="L55" s="31"/>
      <c r="M55" s="31"/>
    </row>
    <row r="56" ht="15" customHeight="1">
      <c r="A56" s="26" t="str">
        <f t="shared" si="0"/>
        <v/>
      </c>
      <c r="B56" s="27"/>
      <c r="C56" s="26"/>
      <c r="D56" s="26" t="str">
        <f>IF(C56="","",_xlfn.IFERROR(INDEX(Settings!$B$13:$B$32,MATCH(C56,Settings!$A$13:$A$32,0)),""))</f>
        <v/>
      </c>
      <c r="E56" s="26"/>
      <c r="F56" s="26"/>
      <c r="G56" s="26"/>
      <c r="H56" s="30"/>
      <c r="I56" s="30" t="str">
        <f t="shared" si="1"/>
        <v/>
      </c>
      <c r="J56" s="30" t="str">
        <f>IF(C56="","",IF(ROW()=2,_xlfn.IFERROR(INDEX(Settings!$E$13:$E$32,MATCH(C56,Settings!$A$13:$A$32,0)),0)+H56,IF(C56=C55,J55+H56,_xlfn.IFERROR(INDEX(Settings!$E$13:$E$32,MATCH(C56,Settings!$A$13:$A$32,0)),0)+H56)))</f>
        <v/>
      </c>
      <c r="K56" s="26"/>
      <c r="L56" s="26"/>
      <c r="M56" s="26"/>
    </row>
    <row r="57" ht="15" customHeight="1">
      <c r="A57" s="31" t="str">
        <f t="shared" si="0"/>
        <v/>
      </c>
      <c r="B57" s="32"/>
      <c r="C57" s="31"/>
      <c r="D57" s="31" t="str">
        <f>IF(C57="","",_xlfn.IFERROR(INDEX(Settings!$B$13:$B$32,MATCH(C57,Settings!$A$13:$A$32,0)),""))</f>
        <v/>
      </c>
      <c r="E57" s="31"/>
      <c r="F57" s="31"/>
      <c r="G57" s="31"/>
      <c r="H57" s="34"/>
      <c r="I57" s="34" t="str">
        <f t="shared" si="1"/>
        <v/>
      </c>
      <c r="J57" s="34" t="str">
        <f>IF(C57="","",IF(ROW()=2,_xlfn.IFERROR(INDEX(Settings!$E$13:$E$32,MATCH(C57,Settings!$A$13:$A$32,0)),0)+H57,IF(C57=C56,J56+H57,_xlfn.IFERROR(INDEX(Settings!$E$13:$E$32,MATCH(C57,Settings!$A$13:$A$32,0)),0)+H57)))</f>
        <v/>
      </c>
      <c r="K57" s="31"/>
      <c r="L57" s="31"/>
      <c r="M57" s="31"/>
    </row>
    <row r="58" ht="15" customHeight="1">
      <c r="A58" s="26" t="str">
        <f t="shared" si="0"/>
        <v/>
      </c>
      <c r="B58" s="27"/>
      <c r="C58" s="26"/>
      <c r="D58" s="26" t="str">
        <f>IF(C58="","",_xlfn.IFERROR(INDEX(Settings!$B$13:$B$32,MATCH(C58,Settings!$A$13:$A$32,0)),""))</f>
        <v/>
      </c>
      <c r="E58" s="26"/>
      <c r="F58" s="26"/>
      <c r="G58" s="26"/>
      <c r="H58" s="30"/>
      <c r="I58" s="30" t="str">
        <f t="shared" si="1"/>
        <v/>
      </c>
      <c r="J58" s="30" t="str">
        <f>IF(C58="","",IF(ROW()=2,_xlfn.IFERROR(INDEX(Settings!$E$13:$E$32,MATCH(C58,Settings!$A$13:$A$32,0)),0)+H58,IF(C58=C57,J57+H58,_xlfn.IFERROR(INDEX(Settings!$E$13:$E$32,MATCH(C58,Settings!$A$13:$A$32,0)),0)+H58)))</f>
        <v/>
      </c>
      <c r="K58" s="26"/>
      <c r="L58" s="26"/>
      <c r="M58" s="26"/>
    </row>
    <row r="59" ht="15" customHeight="1">
      <c r="A59" s="31" t="str">
        <f t="shared" si="0"/>
        <v/>
      </c>
      <c r="B59" s="32"/>
      <c r="C59" s="31"/>
      <c r="D59" s="31" t="str">
        <f>IF(C59="","",_xlfn.IFERROR(INDEX(Settings!$B$13:$B$32,MATCH(C59,Settings!$A$13:$A$32,0)),""))</f>
        <v/>
      </c>
      <c r="E59" s="31"/>
      <c r="F59" s="31"/>
      <c r="G59" s="31"/>
      <c r="H59" s="34"/>
      <c r="I59" s="34" t="str">
        <f t="shared" si="1"/>
        <v/>
      </c>
      <c r="J59" s="34" t="str">
        <f>IF(C59="","",IF(ROW()=2,_xlfn.IFERROR(INDEX(Settings!$E$13:$E$32,MATCH(C59,Settings!$A$13:$A$32,0)),0)+H59,IF(C59=C58,J58+H59,_xlfn.IFERROR(INDEX(Settings!$E$13:$E$32,MATCH(C59,Settings!$A$13:$A$32,0)),0)+H59)))</f>
        <v/>
      </c>
      <c r="K59" s="31"/>
      <c r="L59" s="31"/>
      <c r="M59" s="31"/>
    </row>
    <row r="60" ht="15" customHeight="1">
      <c r="A60" s="26" t="str">
        <f t="shared" si="0"/>
        <v/>
      </c>
      <c r="B60" s="27"/>
      <c r="C60" s="26"/>
      <c r="D60" s="26" t="str">
        <f>IF(C60="","",_xlfn.IFERROR(INDEX(Settings!$B$13:$B$32,MATCH(C60,Settings!$A$13:$A$32,0)),""))</f>
        <v/>
      </c>
      <c r="E60" s="26"/>
      <c r="F60" s="26"/>
      <c r="G60" s="26"/>
      <c r="H60" s="30"/>
      <c r="I60" s="30" t="str">
        <f t="shared" si="1"/>
        <v/>
      </c>
      <c r="J60" s="30" t="str">
        <f>IF(C60="","",IF(ROW()=2,_xlfn.IFERROR(INDEX(Settings!$E$13:$E$32,MATCH(C60,Settings!$A$13:$A$32,0)),0)+H60,IF(C60=C59,J59+H60,_xlfn.IFERROR(INDEX(Settings!$E$13:$E$32,MATCH(C60,Settings!$A$13:$A$32,0)),0)+H60)))</f>
        <v/>
      </c>
      <c r="K60" s="26"/>
      <c r="L60" s="26"/>
      <c r="M60" s="26"/>
    </row>
    <row r="61" ht="15" customHeight="1">
      <c r="A61" s="31" t="str">
        <f t="shared" si="0"/>
        <v/>
      </c>
      <c r="B61" s="32"/>
      <c r="C61" s="31"/>
      <c r="D61" s="31" t="str">
        <f>IF(C61="","",_xlfn.IFERROR(INDEX(Settings!$B$13:$B$32,MATCH(C61,Settings!$A$13:$A$32,0)),""))</f>
        <v/>
      </c>
      <c r="E61" s="31"/>
      <c r="F61" s="31"/>
      <c r="G61" s="31"/>
      <c r="H61" s="34"/>
      <c r="I61" s="34" t="str">
        <f t="shared" si="1"/>
        <v/>
      </c>
      <c r="J61" s="34" t="str">
        <f>IF(C61="","",IF(ROW()=2,_xlfn.IFERROR(INDEX(Settings!$E$13:$E$32,MATCH(C61,Settings!$A$13:$A$32,0)),0)+H61,IF(C61=C60,J60+H61,_xlfn.IFERROR(INDEX(Settings!$E$13:$E$32,MATCH(C61,Settings!$A$13:$A$32,0)),0)+H61)))</f>
        <v/>
      </c>
      <c r="K61" s="31"/>
      <c r="L61" s="31"/>
      <c r="M61" s="31"/>
    </row>
    <row r="62" ht="15" customHeight="1">
      <c r="A62" s="26" t="str">
        <f t="shared" si="0"/>
        <v/>
      </c>
      <c r="B62" s="27"/>
      <c r="C62" s="26"/>
      <c r="D62" s="26" t="str">
        <f>IF(C62="","",_xlfn.IFERROR(INDEX(Settings!$B$13:$B$32,MATCH(C62,Settings!$A$13:$A$32,0)),""))</f>
        <v/>
      </c>
      <c r="E62" s="26"/>
      <c r="F62" s="26"/>
      <c r="G62" s="26"/>
      <c r="H62" s="30"/>
      <c r="I62" s="30" t="str">
        <f t="shared" si="1"/>
        <v/>
      </c>
      <c r="J62" s="30" t="str">
        <f>IF(C62="","",IF(ROW()=2,_xlfn.IFERROR(INDEX(Settings!$E$13:$E$32,MATCH(C62,Settings!$A$13:$A$32,0)),0)+H62,IF(C62=C61,J61+H62,_xlfn.IFERROR(INDEX(Settings!$E$13:$E$32,MATCH(C62,Settings!$A$13:$A$32,0)),0)+H62)))</f>
        <v/>
      </c>
      <c r="K62" s="26"/>
      <c r="L62" s="26"/>
      <c r="M62" s="26"/>
    </row>
    <row r="63" ht="15" customHeight="1">
      <c r="A63" s="31" t="str">
        <f t="shared" si="0"/>
        <v/>
      </c>
      <c r="B63" s="32"/>
      <c r="C63" s="31"/>
      <c r="D63" s="31" t="str">
        <f>IF(C63="","",_xlfn.IFERROR(INDEX(Settings!$B$13:$B$32,MATCH(C63,Settings!$A$13:$A$32,0)),""))</f>
        <v/>
      </c>
      <c r="E63" s="31"/>
      <c r="F63" s="31"/>
      <c r="G63" s="31"/>
      <c r="H63" s="34"/>
      <c r="I63" s="34" t="str">
        <f t="shared" si="1"/>
        <v/>
      </c>
      <c r="J63" s="34" t="str">
        <f>IF(C63="","",IF(ROW()=2,_xlfn.IFERROR(INDEX(Settings!$E$13:$E$32,MATCH(C63,Settings!$A$13:$A$32,0)),0)+H63,IF(C63=C62,J62+H63,_xlfn.IFERROR(INDEX(Settings!$E$13:$E$32,MATCH(C63,Settings!$A$13:$A$32,0)),0)+H63)))</f>
        <v/>
      </c>
      <c r="K63" s="31"/>
      <c r="L63" s="31"/>
      <c r="M63" s="31"/>
    </row>
    <row r="64" ht="15" customHeight="1">
      <c r="A64" s="26" t="str">
        <f t="shared" si="0"/>
        <v/>
      </c>
      <c r="B64" s="27"/>
      <c r="C64" s="26"/>
      <c r="D64" s="26" t="str">
        <f>IF(C64="","",_xlfn.IFERROR(INDEX(Settings!$B$13:$B$32,MATCH(C64,Settings!$A$13:$A$32,0)),""))</f>
        <v/>
      </c>
      <c r="E64" s="26"/>
      <c r="F64" s="26"/>
      <c r="G64" s="26"/>
      <c r="H64" s="30"/>
      <c r="I64" s="30" t="str">
        <f t="shared" si="1"/>
        <v/>
      </c>
      <c r="J64" s="30" t="str">
        <f>IF(C64="","",IF(ROW()=2,_xlfn.IFERROR(INDEX(Settings!$E$13:$E$32,MATCH(C64,Settings!$A$13:$A$32,0)),0)+H64,IF(C64=C63,J63+H64,_xlfn.IFERROR(INDEX(Settings!$E$13:$E$32,MATCH(C64,Settings!$A$13:$A$32,0)),0)+H64)))</f>
        <v/>
      </c>
      <c r="K64" s="26"/>
      <c r="L64" s="26"/>
      <c r="M64" s="26"/>
    </row>
    <row r="65" ht="15" customHeight="1">
      <c r="A65" s="31" t="str">
        <f t="shared" si="0"/>
        <v/>
      </c>
      <c r="B65" s="32"/>
      <c r="C65" s="31"/>
      <c r="D65" s="31" t="str">
        <f>IF(C65="","",_xlfn.IFERROR(INDEX(Settings!$B$13:$B$32,MATCH(C65,Settings!$A$13:$A$32,0)),""))</f>
        <v/>
      </c>
      <c r="E65" s="31"/>
      <c r="F65" s="31"/>
      <c r="G65" s="31"/>
      <c r="H65" s="34"/>
      <c r="I65" s="34" t="str">
        <f t="shared" si="1"/>
        <v/>
      </c>
      <c r="J65" s="34" t="str">
        <f>IF(C65="","",IF(ROW()=2,_xlfn.IFERROR(INDEX(Settings!$E$13:$E$32,MATCH(C65,Settings!$A$13:$A$32,0)),0)+H65,IF(C65=C64,J64+H65,_xlfn.IFERROR(INDEX(Settings!$E$13:$E$32,MATCH(C65,Settings!$A$13:$A$32,0)),0)+H65)))</f>
        <v/>
      </c>
      <c r="K65" s="31"/>
      <c r="L65" s="31"/>
      <c r="M65" s="31"/>
    </row>
    <row r="66" ht="15" customHeight="1">
      <c r="A66" s="26" t="str">
        <f t="shared" si="0"/>
        <v/>
      </c>
      <c r="B66" s="27"/>
      <c r="C66" s="26"/>
      <c r="D66" s="26" t="str">
        <f>IF(C66="","",_xlfn.IFERROR(INDEX(Settings!$B$13:$B$32,MATCH(C66,Settings!$A$13:$A$32,0)),""))</f>
        <v/>
      </c>
      <c r="E66" s="26"/>
      <c r="F66" s="26"/>
      <c r="G66" s="26"/>
      <c r="H66" s="30"/>
      <c r="I66" s="30" t="str">
        <f t="shared" si="1"/>
        <v/>
      </c>
      <c r="J66" s="30" t="str">
        <f>IF(C66="","",IF(ROW()=2,_xlfn.IFERROR(INDEX(Settings!$E$13:$E$32,MATCH(C66,Settings!$A$13:$A$32,0)),0)+H66,IF(C66=C65,J65+H66,_xlfn.IFERROR(INDEX(Settings!$E$13:$E$32,MATCH(C66,Settings!$A$13:$A$32,0)),0)+H66)))</f>
        <v/>
      </c>
      <c r="K66" s="26"/>
      <c r="L66" s="26"/>
      <c r="M66" s="26"/>
    </row>
    <row r="67" ht="15" customHeight="1">
      <c r="A67" s="31" t="str">
        <f t="shared" si="0"/>
        <v/>
      </c>
      <c r="B67" s="32"/>
      <c r="C67" s="31"/>
      <c r="D67" s="31" t="str">
        <f>IF(C67="","",_xlfn.IFERROR(INDEX(Settings!$B$13:$B$32,MATCH(C67,Settings!$A$13:$A$32,0)),""))</f>
        <v/>
      </c>
      <c r="E67" s="31"/>
      <c r="F67" s="31"/>
      <c r="G67" s="31"/>
      <c r="H67" s="34"/>
      <c r="I67" s="34" t="str">
        <f t="shared" si="1"/>
        <v/>
      </c>
      <c r="J67" s="34" t="str">
        <f>IF(C67="","",IF(ROW()=2,_xlfn.IFERROR(INDEX(Settings!$E$13:$E$32,MATCH(C67,Settings!$A$13:$A$32,0)),0)+H67,IF(C67=C66,J66+H67,_xlfn.IFERROR(INDEX(Settings!$E$13:$E$32,MATCH(C67,Settings!$A$13:$A$32,0)),0)+H67)))</f>
        <v/>
      </c>
      <c r="K67" s="31"/>
      <c r="L67" s="31"/>
      <c r="M67" s="31"/>
    </row>
    <row r="68" ht="15" customHeight="1">
      <c r="A68" s="26" t="str">
        <f t="shared" si="0"/>
        <v/>
      </c>
      <c r="B68" s="27"/>
      <c r="C68" s="26"/>
      <c r="D68" s="26" t="str">
        <f>IF(C68="","",_xlfn.IFERROR(INDEX(Settings!$B$13:$B$32,MATCH(C68,Settings!$A$13:$A$32,0)),""))</f>
        <v/>
      </c>
      <c r="E68" s="26"/>
      <c r="F68" s="26"/>
      <c r="G68" s="26"/>
      <c r="H68" s="30"/>
      <c r="I68" s="30" t="str">
        <f t="shared" si="1"/>
        <v/>
      </c>
      <c r="J68" s="30" t="str">
        <f>IF(C68="","",IF(ROW()=2,_xlfn.IFERROR(INDEX(Settings!$E$13:$E$32,MATCH(C68,Settings!$A$13:$A$32,0)),0)+H68,IF(C68=C67,J67+H68,_xlfn.IFERROR(INDEX(Settings!$E$13:$E$32,MATCH(C68,Settings!$A$13:$A$32,0)),0)+H68)))</f>
        <v/>
      </c>
      <c r="K68" s="26"/>
      <c r="L68" s="26"/>
      <c r="M68" s="26"/>
    </row>
    <row r="69" ht="15" customHeight="1">
      <c r="A69" s="31" t="str">
        <f t="shared" si="0"/>
        <v/>
      </c>
      <c r="B69" s="32"/>
      <c r="C69" s="31"/>
      <c r="D69" s="31" t="str">
        <f>IF(C69="","",_xlfn.IFERROR(INDEX(Settings!$B$13:$B$32,MATCH(C69,Settings!$A$13:$A$32,0)),""))</f>
        <v/>
      </c>
      <c r="E69" s="31"/>
      <c r="F69" s="31"/>
      <c r="G69" s="31"/>
      <c r="H69" s="34"/>
      <c r="I69" s="34" t="str">
        <f t="shared" si="1"/>
        <v/>
      </c>
      <c r="J69" s="34" t="str">
        <f>IF(C69="","",IF(ROW()=2,_xlfn.IFERROR(INDEX(Settings!$E$13:$E$32,MATCH(C69,Settings!$A$13:$A$32,0)),0)+H69,IF(C69=C68,J68+H69,_xlfn.IFERROR(INDEX(Settings!$E$13:$E$32,MATCH(C69,Settings!$A$13:$A$32,0)),0)+H69)))</f>
        <v/>
      </c>
      <c r="K69" s="31"/>
      <c r="L69" s="31"/>
      <c r="M69" s="31"/>
    </row>
    <row r="70" ht="15" customHeight="1">
      <c r="A70" s="26" t="str">
        <f t="shared" si="0"/>
        <v/>
      </c>
      <c r="B70" s="27"/>
      <c r="C70" s="26"/>
      <c r="D70" s="26" t="str">
        <f>IF(C70="","",_xlfn.IFERROR(INDEX(Settings!$B$13:$B$32,MATCH(C70,Settings!$A$13:$A$32,0)),""))</f>
        <v/>
      </c>
      <c r="E70" s="26"/>
      <c r="F70" s="26"/>
      <c r="G70" s="26"/>
      <c r="H70" s="30"/>
      <c r="I70" s="30" t="str">
        <f t="shared" si="1"/>
        <v/>
      </c>
      <c r="J70" s="30" t="str">
        <f>IF(C70="","",IF(ROW()=2,_xlfn.IFERROR(INDEX(Settings!$E$13:$E$32,MATCH(C70,Settings!$A$13:$A$32,0)),0)+H70,IF(C70=C69,J69+H70,_xlfn.IFERROR(INDEX(Settings!$E$13:$E$32,MATCH(C70,Settings!$A$13:$A$32,0)),0)+H70)))</f>
        <v/>
      </c>
      <c r="K70" s="26"/>
      <c r="L70" s="26"/>
      <c r="M70" s="26"/>
    </row>
    <row r="71" ht="15" customHeight="1">
      <c r="A71" s="31" t="str">
        <f t="shared" si="0"/>
        <v/>
      </c>
      <c r="B71" s="32"/>
      <c r="C71" s="31"/>
      <c r="D71" s="31" t="str">
        <f>IF(C71="","",_xlfn.IFERROR(INDEX(Settings!$B$13:$B$32,MATCH(C71,Settings!$A$13:$A$32,0)),""))</f>
        <v/>
      </c>
      <c r="E71" s="31"/>
      <c r="F71" s="31"/>
      <c r="G71" s="31"/>
      <c r="H71" s="34"/>
      <c r="I71" s="34" t="str">
        <f t="shared" si="1"/>
        <v/>
      </c>
      <c r="J71" s="34" t="str">
        <f>IF(C71="","",IF(ROW()=2,_xlfn.IFERROR(INDEX(Settings!$E$13:$E$32,MATCH(C71,Settings!$A$13:$A$32,0)),0)+H71,IF(C71=C70,J70+H71,_xlfn.IFERROR(INDEX(Settings!$E$13:$E$32,MATCH(C71,Settings!$A$13:$A$32,0)),0)+H71)))</f>
        <v/>
      </c>
      <c r="K71" s="31"/>
      <c r="L71" s="31"/>
      <c r="M71" s="31"/>
    </row>
    <row r="72" ht="15" customHeight="1">
      <c r="A72" s="26" t="str">
        <f t="shared" si="0"/>
        <v/>
      </c>
      <c r="B72" s="27"/>
      <c r="C72" s="26"/>
      <c r="D72" s="26" t="str">
        <f>IF(C72="","",_xlfn.IFERROR(INDEX(Settings!$B$13:$B$32,MATCH(C72,Settings!$A$13:$A$32,0)),""))</f>
        <v/>
      </c>
      <c r="E72" s="26"/>
      <c r="F72" s="26"/>
      <c r="G72" s="26"/>
      <c r="H72" s="30"/>
      <c r="I72" s="30" t="str">
        <f t="shared" si="1"/>
        <v/>
      </c>
      <c r="J72" s="30" t="str">
        <f>IF(C72="","",IF(ROW()=2,_xlfn.IFERROR(INDEX(Settings!$E$13:$E$32,MATCH(C72,Settings!$A$13:$A$32,0)),0)+H72,IF(C72=C71,J71+H72,_xlfn.IFERROR(INDEX(Settings!$E$13:$E$32,MATCH(C72,Settings!$A$13:$A$32,0)),0)+H72)))</f>
        <v/>
      </c>
      <c r="K72" s="26"/>
      <c r="L72" s="26"/>
      <c r="M72" s="26"/>
    </row>
    <row r="73" ht="15" customHeight="1">
      <c r="A73" s="31" t="str">
        <f t="shared" si="0"/>
        <v/>
      </c>
      <c r="B73" s="32"/>
      <c r="C73" s="31"/>
      <c r="D73" s="31" t="str">
        <f>IF(C73="","",_xlfn.IFERROR(INDEX(Settings!$B$13:$B$32,MATCH(C73,Settings!$A$13:$A$32,0)),""))</f>
        <v/>
      </c>
      <c r="E73" s="31"/>
      <c r="F73" s="31"/>
      <c r="G73" s="31"/>
      <c r="H73" s="34"/>
      <c r="I73" s="34" t="str">
        <f t="shared" si="1"/>
        <v/>
      </c>
      <c r="J73" s="34" t="str">
        <f>IF(C73="","",IF(ROW()=2,_xlfn.IFERROR(INDEX(Settings!$E$13:$E$32,MATCH(C73,Settings!$A$13:$A$32,0)),0)+H73,IF(C73=C72,J72+H73,_xlfn.IFERROR(INDEX(Settings!$E$13:$E$32,MATCH(C73,Settings!$A$13:$A$32,0)),0)+H73)))</f>
        <v/>
      </c>
      <c r="K73" s="31"/>
      <c r="L73" s="31"/>
      <c r="M73" s="31"/>
    </row>
    <row r="74" ht="15" customHeight="1">
      <c r="A74" s="26" t="str">
        <f t="shared" si="0"/>
        <v/>
      </c>
      <c r="B74" s="27"/>
      <c r="C74" s="26"/>
      <c r="D74" s="26" t="str">
        <f>IF(C74="","",_xlfn.IFERROR(INDEX(Settings!$B$13:$B$32,MATCH(C74,Settings!$A$13:$A$32,0)),""))</f>
        <v/>
      </c>
      <c r="E74" s="26"/>
      <c r="F74" s="26"/>
      <c r="G74" s="26"/>
      <c r="H74" s="30"/>
      <c r="I74" s="30" t="str">
        <f t="shared" si="1"/>
        <v/>
      </c>
      <c r="J74" s="30" t="str">
        <f>IF(C74="","",IF(ROW()=2,_xlfn.IFERROR(INDEX(Settings!$E$13:$E$32,MATCH(C74,Settings!$A$13:$A$32,0)),0)+H74,IF(C74=C73,J73+H74,_xlfn.IFERROR(INDEX(Settings!$E$13:$E$32,MATCH(C74,Settings!$A$13:$A$32,0)),0)+H74)))</f>
        <v/>
      </c>
      <c r="K74" s="26"/>
      <c r="L74" s="26"/>
      <c r="M74" s="26"/>
    </row>
    <row r="75" ht="15" customHeight="1">
      <c r="A75" s="31" t="str">
        <f t="shared" si="0"/>
        <v/>
      </c>
      <c r="B75" s="32"/>
      <c r="C75" s="31"/>
      <c r="D75" s="31" t="str">
        <f>IF(C75="","",_xlfn.IFERROR(INDEX(Settings!$B$13:$B$32,MATCH(C75,Settings!$A$13:$A$32,0)),""))</f>
        <v/>
      </c>
      <c r="E75" s="31"/>
      <c r="F75" s="31"/>
      <c r="G75" s="31"/>
      <c r="H75" s="34"/>
      <c r="I75" s="34" t="str">
        <f t="shared" si="1"/>
        <v/>
      </c>
      <c r="J75" s="34" t="str">
        <f>IF(C75="","",IF(ROW()=2,_xlfn.IFERROR(INDEX(Settings!$E$13:$E$32,MATCH(C75,Settings!$A$13:$A$32,0)),0)+H75,IF(C75=C74,J74+H75,_xlfn.IFERROR(INDEX(Settings!$E$13:$E$32,MATCH(C75,Settings!$A$13:$A$32,0)),0)+H75)))</f>
        <v/>
      </c>
      <c r="K75" s="31"/>
      <c r="L75" s="31"/>
      <c r="M75" s="31"/>
    </row>
    <row r="76" ht="15" customHeight="1">
      <c r="A76" s="26" t="str">
        <f t="shared" si="0"/>
        <v/>
      </c>
      <c r="B76" s="27"/>
      <c r="C76" s="26"/>
      <c r="D76" s="26" t="str">
        <f>IF(C76="","",_xlfn.IFERROR(INDEX(Settings!$B$13:$B$32,MATCH(C76,Settings!$A$13:$A$32,0)),""))</f>
        <v/>
      </c>
      <c r="E76" s="26"/>
      <c r="F76" s="26"/>
      <c r="G76" s="26"/>
      <c r="H76" s="30"/>
      <c r="I76" s="30" t="str">
        <f t="shared" si="1"/>
        <v/>
      </c>
      <c r="J76" s="30" t="str">
        <f>IF(C76="","",IF(ROW()=2,_xlfn.IFERROR(INDEX(Settings!$E$13:$E$32,MATCH(C76,Settings!$A$13:$A$32,0)),0)+H76,IF(C76=C75,J75+H76,_xlfn.IFERROR(INDEX(Settings!$E$13:$E$32,MATCH(C76,Settings!$A$13:$A$32,0)),0)+H76)))</f>
        <v/>
      </c>
      <c r="K76" s="26"/>
      <c r="L76" s="26"/>
      <c r="M76" s="26"/>
    </row>
    <row r="77" ht="15" customHeight="1">
      <c r="A77" s="31" t="str">
        <f t="shared" si="0"/>
        <v/>
      </c>
      <c r="B77" s="32"/>
      <c r="C77" s="31"/>
      <c r="D77" s="31" t="str">
        <f>IF(C77="","",_xlfn.IFERROR(INDEX(Settings!$B$13:$B$32,MATCH(C77,Settings!$A$13:$A$32,0)),""))</f>
        <v/>
      </c>
      <c r="E77" s="31"/>
      <c r="F77" s="31"/>
      <c r="G77" s="31"/>
      <c r="H77" s="34"/>
      <c r="I77" s="34" t="str">
        <f t="shared" si="1"/>
        <v/>
      </c>
      <c r="J77" s="34" t="str">
        <f>IF(C77="","",IF(ROW()=2,_xlfn.IFERROR(INDEX(Settings!$E$13:$E$32,MATCH(C77,Settings!$A$13:$A$32,0)),0)+H77,IF(C77=C76,J76+H77,_xlfn.IFERROR(INDEX(Settings!$E$13:$E$32,MATCH(C77,Settings!$A$13:$A$32,0)),0)+H77)))</f>
        <v/>
      </c>
      <c r="K77" s="31"/>
      <c r="L77" s="31"/>
      <c r="M77" s="31"/>
    </row>
    <row r="78" ht="15" customHeight="1">
      <c r="A78" s="26" t="str">
        <f t="shared" si="0"/>
        <v/>
      </c>
      <c r="B78" s="27"/>
      <c r="C78" s="26"/>
      <c r="D78" s="26" t="str">
        <f>IF(C78="","",_xlfn.IFERROR(INDEX(Settings!$B$13:$B$32,MATCH(C78,Settings!$A$13:$A$32,0)),""))</f>
        <v/>
      </c>
      <c r="E78" s="26"/>
      <c r="F78" s="26"/>
      <c r="G78" s="26"/>
      <c r="H78" s="30"/>
      <c r="I78" s="30" t="str">
        <f t="shared" si="1"/>
        <v/>
      </c>
      <c r="J78" s="30" t="str">
        <f>IF(C78="","",IF(ROW()=2,_xlfn.IFERROR(INDEX(Settings!$E$13:$E$32,MATCH(C78,Settings!$A$13:$A$32,0)),0)+H78,IF(C78=C77,J77+H78,_xlfn.IFERROR(INDEX(Settings!$E$13:$E$32,MATCH(C78,Settings!$A$13:$A$32,0)),0)+H78)))</f>
        <v/>
      </c>
      <c r="K78" s="26"/>
      <c r="L78" s="26"/>
      <c r="M78" s="26"/>
    </row>
    <row r="79" ht="15" customHeight="1">
      <c r="A79" s="31" t="str">
        <f t="shared" si="0"/>
        <v/>
      </c>
      <c r="B79" s="32"/>
      <c r="C79" s="31"/>
      <c r="D79" s="31" t="str">
        <f>IF(C79="","",_xlfn.IFERROR(INDEX(Settings!$B$13:$B$32,MATCH(C79,Settings!$A$13:$A$32,0)),""))</f>
        <v/>
      </c>
      <c r="E79" s="31"/>
      <c r="F79" s="31"/>
      <c r="G79" s="31"/>
      <c r="H79" s="34"/>
      <c r="I79" s="34" t="str">
        <f t="shared" si="1"/>
        <v/>
      </c>
      <c r="J79" s="34" t="str">
        <f>IF(C79="","",IF(ROW()=2,_xlfn.IFERROR(INDEX(Settings!$E$13:$E$32,MATCH(C79,Settings!$A$13:$A$32,0)),0)+H79,IF(C79=C78,J78+H79,_xlfn.IFERROR(INDEX(Settings!$E$13:$E$32,MATCH(C79,Settings!$A$13:$A$32,0)),0)+H79)))</f>
        <v/>
      </c>
      <c r="K79" s="31"/>
      <c r="L79" s="31"/>
      <c r="M79" s="31"/>
    </row>
    <row r="80" ht="15" customHeight="1">
      <c r="A80" s="26" t="str">
        <f t="shared" si="0"/>
        <v/>
      </c>
      <c r="B80" s="27"/>
      <c r="C80" s="26"/>
      <c r="D80" s="26" t="str">
        <f>IF(C80="","",_xlfn.IFERROR(INDEX(Settings!$B$13:$B$32,MATCH(C80,Settings!$A$13:$A$32,0)),""))</f>
        <v/>
      </c>
      <c r="E80" s="26"/>
      <c r="F80" s="26"/>
      <c r="G80" s="26"/>
      <c r="H80" s="30"/>
      <c r="I80" s="30" t="str">
        <f t="shared" si="1"/>
        <v/>
      </c>
      <c r="J80" s="30" t="str">
        <f>IF(C80="","",IF(ROW()=2,_xlfn.IFERROR(INDEX(Settings!$E$13:$E$32,MATCH(C80,Settings!$A$13:$A$32,0)),0)+H80,IF(C80=C79,J79+H80,_xlfn.IFERROR(INDEX(Settings!$E$13:$E$32,MATCH(C80,Settings!$A$13:$A$32,0)),0)+H80)))</f>
        <v/>
      </c>
      <c r="K80" s="26"/>
      <c r="L80" s="26"/>
      <c r="M80" s="26"/>
    </row>
    <row r="81" ht="15" customHeight="1">
      <c r="A81" s="31" t="str">
        <f t="shared" si="0"/>
        <v/>
      </c>
      <c r="B81" s="32"/>
      <c r="C81" s="31"/>
      <c r="D81" s="31" t="str">
        <f>IF(C81="","",_xlfn.IFERROR(INDEX(Settings!$B$13:$B$32,MATCH(C81,Settings!$A$13:$A$32,0)),""))</f>
        <v/>
      </c>
      <c r="E81" s="31"/>
      <c r="F81" s="31"/>
      <c r="G81" s="31"/>
      <c r="H81" s="34"/>
      <c r="I81" s="34" t="str">
        <f t="shared" si="1"/>
        <v/>
      </c>
      <c r="J81" s="34" t="str">
        <f>IF(C81="","",IF(ROW()=2,_xlfn.IFERROR(INDEX(Settings!$E$13:$E$32,MATCH(C81,Settings!$A$13:$A$32,0)),0)+H81,IF(C81=C80,J80+H81,_xlfn.IFERROR(INDEX(Settings!$E$13:$E$32,MATCH(C81,Settings!$A$13:$A$32,0)),0)+H81)))</f>
        <v/>
      </c>
      <c r="K81" s="31"/>
      <c r="L81" s="31"/>
      <c r="M81" s="31"/>
    </row>
    <row r="82" ht="15" customHeight="1">
      <c r="A82" s="26" t="str">
        <f t="shared" si="0"/>
        <v/>
      </c>
      <c r="B82" s="27"/>
      <c r="C82" s="26"/>
      <c r="D82" s="26" t="str">
        <f>IF(C82="","",_xlfn.IFERROR(INDEX(Settings!$B$13:$B$32,MATCH(C82,Settings!$A$13:$A$32,0)),""))</f>
        <v/>
      </c>
      <c r="E82" s="26"/>
      <c r="F82" s="26"/>
      <c r="G82" s="26"/>
      <c r="H82" s="30"/>
      <c r="I82" s="30" t="str">
        <f t="shared" si="1"/>
        <v/>
      </c>
      <c r="J82" s="30" t="str">
        <f>IF(C82="","",IF(ROW()=2,_xlfn.IFERROR(INDEX(Settings!$E$13:$E$32,MATCH(C82,Settings!$A$13:$A$32,0)),0)+H82,IF(C82=C81,J81+H82,_xlfn.IFERROR(INDEX(Settings!$E$13:$E$32,MATCH(C82,Settings!$A$13:$A$32,0)),0)+H82)))</f>
        <v/>
      </c>
      <c r="K82" s="26"/>
      <c r="L82" s="26"/>
      <c r="M82" s="26"/>
    </row>
    <row r="83" ht="15" customHeight="1">
      <c r="A83" s="31" t="str">
        <f t="shared" si="0"/>
        <v/>
      </c>
      <c r="B83" s="32"/>
      <c r="C83" s="31"/>
      <c r="D83" s="31" t="str">
        <f>IF(C83="","",_xlfn.IFERROR(INDEX(Settings!$B$13:$B$32,MATCH(C83,Settings!$A$13:$A$32,0)),""))</f>
        <v/>
      </c>
      <c r="E83" s="31"/>
      <c r="F83" s="31"/>
      <c r="G83" s="31"/>
      <c r="H83" s="34"/>
      <c r="I83" s="34" t="str">
        <f t="shared" si="1"/>
        <v/>
      </c>
      <c r="J83" s="34" t="str">
        <f>IF(C83="","",IF(ROW()=2,_xlfn.IFERROR(INDEX(Settings!$E$13:$E$32,MATCH(C83,Settings!$A$13:$A$32,0)),0)+H83,IF(C83=C82,J82+H83,_xlfn.IFERROR(INDEX(Settings!$E$13:$E$32,MATCH(C83,Settings!$A$13:$A$32,0)),0)+H83)))</f>
        <v/>
      </c>
      <c r="K83" s="31"/>
      <c r="L83" s="31"/>
      <c r="M83" s="31"/>
    </row>
    <row r="84" ht="15" customHeight="1">
      <c r="A84" s="26" t="str">
        <f t="shared" si="0"/>
        <v/>
      </c>
      <c r="B84" s="27"/>
      <c r="C84" s="26"/>
      <c r="D84" s="26" t="str">
        <f>IF(C84="","",_xlfn.IFERROR(INDEX(Settings!$B$13:$B$32,MATCH(C84,Settings!$A$13:$A$32,0)),""))</f>
        <v/>
      </c>
      <c r="E84" s="26"/>
      <c r="F84" s="26"/>
      <c r="G84" s="26"/>
      <c r="H84" s="30"/>
      <c r="I84" s="30" t="str">
        <f t="shared" si="1"/>
        <v/>
      </c>
      <c r="J84" s="30" t="str">
        <f>IF(C84="","",IF(ROW()=2,_xlfn.IFERROR(INDEX(Settings!$E$13:$E$32,MATCH(C84,Settings!$A$13:$A$32,0)),0)+H84,IF(C84=C83,J83+H84,_xlfn.IFERROR(INDEX(Settings!$E$13:$E$32,MATCH(C84,Settings!$A$13:$A$32,0)),0)+H84)))</f>
        <v/>
      </c>
      <c r="K84" s="26"/>
      <c r="L84" s="26"/>
      <c r="M84" s="26"/>
    </row>
    <row r="85" ht="15" customHeight="1">
      <c r="A85" s="31" t="str">
        <f t="shared" si="0"/>
        <v/>
      </c>
      <c r="B85" s="32"/>
      <c r="C85" s="31"/>
      <c r="D85" s="31" t="str">
        <f>IF(C85="","",_xlfn.IFERROR(INDEX(Settings!$B$13:$B$32,MATCH(C85,Settings!$A$13:$A$32,0)),""))</f>
        <v/>
      </c>
      <c r="E85" s="31"/>
      <c r="F85" s="31"/>
      <c r="G85" s="31"/>
      <c r="H85" s="34"/>
      <c r="I85" s="34" t="str">
        <f t="shared" si="1"/>
        <v/>
      </c>
      <c r="J85" s="34" t="str">
        <f>IF(C85="","",IF(ROW()=2,_xlfn.IFERROR(INDEX(Settings!$E$13:$E$32,MATCH(C85,Settings!$A$13:$A$32,0)),0)+H85,IF(C85=C84,J84+H85,_xlfn.IFERROR(INDEX(Settings!$E$13:$E$32,MATCH(C85,Settings!$A$13:$A$32,0)),0)+H85)))</f>
        <v/>
      </c>
      <c r="K85" s="31"/>
      <c r="L85" s="31"/>
      <c r="M85" s="31"/>
    </row>
    <row r="86" ht="15" customHeight="1">
      <c r="A86" s="26" t="str">
        <f t="shared" si="0"/>
        <v/>
      </c>
      <c r="B86" s="27"/>
      <c r="C86" s="26"/>
      <c r="D86" s="26" t="str">
        <f>IF(C86="","",_xlfn.IFERROR(INDEX(Settings!$B$13:$B$32,MATCH(C86,Settings!$A$13:$A$32,0)),""))</f>
        <v/>
      </c>
      <c r="E86" s="26"/>
      <c r="F86" s="26"/>
      <c r="G86" s="26"/>
      <c r="H86" s="30"/>
      <c r="I86" s="30" t="str">
        <f t="shared" si="1"/>
        <v/>
      </c>
      <c r="J86" s="30" t="str">
        <f>IF(C86="","",IF(ROW()=2,_xlfn.IFERROR(INDEX(Settings!$E$13:$E$32,MATCH(C86,Settings!$A$13:$A$32,0)),0)+H86,IF(C86=C85,J85+H86,_xlfn.IFERROR(INDEX(Settings!$E$13:$E$32,MATCH(C86,Settings!$A$13:$A$32,0)),0)+H86)))</f>
        <v/>
      </c>
      <c r="K86" s="26"/>
      <c r="L86" s="26"/>
      <c r="M86" s="26"/>
    </row>
    <row r="87" ht="15" customHeight="1">
      <c r="A87" s="31" t="str">
        <f t="shared" si="0"/>
        <v/>
      </c>
      <c r="B87" s="32"/>
      <c r="C87" s="31"/>
      <c r="D87" s="31" t="str">
        <f>IF(C87="","",_xlfn.IFERROR(INDEX(Settings!$B$13:$B$32,MATCH(C87,Settings!$A$13:$A$32,0)),""))</f>
        <v/>
      </c>
      <c r="E87" s="31"/>
      <c r="F87" s="31"/>
      <c r="G87" s="31"/>
      <c r="H87" s="34"/>
      <c r="I87" s="34" t="str">
        <f t="shared" si="1"/>
        <v/>
      </c>
      <c r="J87" s="34" t="str">
        <f>IF(C87="","",IF(ROW()=2,_xlfn.IFERROR(INDEX(Settings!$E$13:$E$32,MATCH(C87,Settings!$A$13:$A$32,0)),0)+H87,IF(C87=C86,J86+H87,_xlfn.IFERROR(INDEX(Settings!$E$13:$E$32,MATCH(C87,Settings!$A$13:$A$32,0)),0)+H87)))</f>
        <v/>
      </c>
      <c r="K87" s="31"/>
      <c r="L87" s="31"/>
      <c r="M87" s="31"/>
    </row>
    <row r="88" ht="15" customHeight="1">
      <c r="A88" s="26" t="str">
        <f t="shared" si="0"/>
        <v/>
      </c>
      <c r="B88" s="27"/>
      <c r="C88" s="26"/>
      <c r="D88" s="26" t="str">
        <f>IF(C88="","",_xlfn.IFERROR(INDEX(Settings!$B$13:$B$32,MATCH(C88,Settings!$A$13:$A$32,0)),""))</f>
        <v/>
      </c>
      <c r="E88" s="26"/>
      <c r="F88" s="26"/>
      <c r="G88" s="26"/>
      <c r="H88" s="30"/>
      <c r="I88" s="30" t="str">
        <f t="shared" si="1"/>
        <v/>
      </c>
      <c r="J88" s="30" t="str">
        <f>IF(C88="","",IF(ROW()=2,_xlfn.IFERROR(INDEX(Settings!$E$13:$E$32,MATCH(C88,Settings!$A$13:$A$32,0)),0)+H88,IF(C88=C87,J87+H88,_xlfn.IFERROR(INDEX(Settings!$E$13:$E$32,MATCH(C88,Settings!$A$13:$A$32,0)),0)+H88)))</f>
        <v/>
      </c>
      <c r="K88" s="26"/>
      <c r="L88" s="26"/>
      <c r="M88" s="26"/>
    </row>
    <row r="89" ht="15" customHeight="1">
      <c r="A89" s="31" t="str">
        <f t="shared" si="0"/>
        <v/>
      </c>
      <c r="B89" s="32"/>
      <c r="C89" s="31"/>
      <c r="D89" s="31" t="str">
        <f>IF(C89="","",_xlfn.IFERROR(INDEX(Settings!$B$13:$B$32,MATCH(C89,Settings!$A$13:$A$32,0)),""))</f>
        <v/>
      </c>
      <c r="E89" s="31"/>
      <c r="F89" s="31"/>
      <c r="G89" s="31"/>
      <c r="H89" s="34"/>
      <c r="I89" s="34" t="str">
        <f t="shared" si="1"/>
        <v/>
      </c>
      <c r="J89" s="34" t="str">
        <f>IF(C89="","",IF(ROW()=2,_xlfn.IFERROR(INDEX(Settings!$E$13:$E$32,MATCH(C89,Settings!$A$13:$A$32,0)),0)+H89,IF(C89=C88,J88+H89,_xlfn.IFERROR(INDEX(Settings!$E$13:$E$32,MATCH(C89,Settings!$A$13:$A$32,0)),0)+H89)))</f>
        <v/>
      </c>
      <c r="K89" s="31"/>
      <c r="L89" s="31"/>
      <c r="M89" s="31"/>
    </row>
    <row r="90" ht="15" customHeight="1">
      <c r="A90" s="26" t="str">
        <f t="shared" si="0"/>
        <v/>
      </c>
      <c r="B90" s="27"/>
      <c r="C90" s="26"/>
      <c r="D90" s="26" t="str">
        <f>IF(C90="","",_xlfn.IFERROR(INDEX(Settings!$B$13:$B$32,MATCH(C90,Settings!$A$13:$A$32,0)),""))</f>
        <v/>
      </c>
      <c r="E90" s="26"/>
      <c r="F90" s="26"/>
      <c r="G90" s="26"/>
      <c r="H90" s="30"/>
      <c r="I90" s="30" t="str">
        <f t="shared" si="1"/>
        <v/>
      </c>
      <c r="J90" s="30" t="str">
        <f>IF(C90="","",IF(ROW()=2,_xlfn.IFERROR(INDEX(Settings!$E$13:$E$32,MATCH(C90,Settings!$A$13:$A$32,0)),0)+H90,IF(C90=C89,J89+H90,_xlfn.IFERROR(INDEX(Settings!$E$13:$E$32,MATCH(C90,Settings!$A$13:$A$32,0)),0)+H90)))</f>
        <v/>
      </c>
      <c r="K90" s="26"/>
      <c r="L90" s="26"/>
      <c r="M90" s="26"/>
    </row>
    <row r="91" ht="15" customHeight="1">
      <c r="A91" s="31" t="str">
        <f t="shared" si="0"/>
        <v/>
      </c>
      <c r="B91" s="32"/>
      <c r="C91" s="31"/>
      <c r="D91" s="31" t="str">
        <f>IF(C91="","",_xlfn.IFERROR(INDEX(Settings!$B$13:$B$32,MATCH(C91,Settings!$A$13:$A$32,0)),""))</f>
        <v/>
      </c>
      <c r="E91" s="31"/>
      <c r="F91" s="31"/>
      <c r="G91" s="31"/>
      <c r="H91" s="34"/>
      <c r="I91" s="34" t="str">
        <f t="shared" si="1"/>
        <v/>
      </c>
      <c r="J91" s="34" t="str">
        <f>IF(C91="","",IF(ROW()=2,_xlfn.IFERROR(INDEX(Settings!$E$13:$E$32,MATCH(C91,Settings!$A$13:$A$32,0)),0)+H91,IF(C91=C90,J90+H91,_xlfn.IFERROR(INDEX(Settings!$E$13:$E$32,MATCH(C91,Settings!$A$13:$A$32,0)),0)+H91)))</f>
        <v/>
      </c>
      <c r="K91" s="31"/>
      <c r="L91" s="31"/>
      <c r="M91" s="31"/>
    </row>
    <row r="92" ht="15" customHeight="1">
      <c r="A92" s="26" t="str">
        <f t="shared" si="0"/>
        <v/>
      </c>
      <c r="B92" s="27"/>
      <c r="C92" s="26"/>
      <c r="D92" s="26" t="str">
        <f>IF(C92="","",_xlfn.IFERROR(INDEX(Settings!$B$13:$B$32,MATCH(C92,Settings!$A$13:$A$32,0)),""))</f>
        <v/>
      </c>
      <c r="E92" s="26"/>
      <c r="F92" s="26"/>
      <c r="G92" s="26"/>
      <c r="H92" s="30"/>
      <c r="I92" s="30" t="str">
        <f t="shared" si="1"/>
        <v/>
      </c>
      <c r="J92" s="30" t="str">
        <f>IF(C92="","",IF(ROW()=2,_xlfn.IFERROR(INDEX(Settings!$E$13:$E$32,MATCH(C92,Settings!$A$13:$A$32,0)),0)+H92,IF(C92=C91,J91+H92,_xlfn.IFERROR(INDEX(Settings!$E$13:$E$32,MATCH(C92,Settings!$A$13:$A$32,0)),0)+H92)))</f>
        <v/>
      </c>
      <c r="K92" s="26"/>
      <c r="L92" s="26"/>
      <c r="M92" s="26"/>
    </row>
    <row r="93" ht="15" customHeight="1">
      <c r="A93" s="31" t="str">
        <f t="shared" si="0"/>
        <v/>
      </c>
      <c r="B93" s="32"/>
      <c r="C93" s="31"/>
      <c r="D93" s="31" t="str">
        <f>IF(C93="","",_xlfn.IFERROR(INDEX(Settings!$B$13:$B$32,MATCH(C93,Settings!$A$13:$A$32,0)),""))</f>
        <v/>
      </c>
      <c r="E93" s="31"/>
      <c r="F93" s="31"/>
      <c r="G93" s="31"/>
      <c r="H93" s="34"/>
      <c r="I93" s="34" t="str">
        <f t="shared" si="1"/>
        <v/>
      </c>
      <c r="J93" s="34" t="str">
        <f>IF(C93="","",IF(ROW()=2,_xlfn.IFERROR(INDEX(Settings!$E$13:$E$32,MATCH(C93,Settings!$A$13:$A$32,0)),0)+H93,IF(C93=C92,J92+H93,_xlfn.IFERROR(INDEX(Settings!$E$13:$E$32,MATCH(C93,Settings!$A$13:$A$32,0)),0)+H93)))</f>
        <v/>
      </c>
      <c r="K93" s="31"/>
      <c r="L93" s="31"/>
      <c r="M93" s="31"/>
    </row>
    <row r="94" ht="15" customHeight="1">
      <c r="A94" s="26" t="str">
        <f t="shared" si="0"/>
        <v/>
      </c>
      <c r="B94" s="27"/>
      <c r="C94" s="26"/>
      <c r="D94" s="26" t="str">
        <f>IF(C94="","",_xlfn.IFERROR(INDEX(Settings!$B$13:$B$32,MATCH(C94,Settings!$A$13:$A$32,0)),""))</f>
        <v/>
      </c>
      <c r="E94" s="26"/>
      <c r="F94" s="26"/>
      <c r="G94" s="26"/>
      <c r="H94" s="30"/>
      <c r="I94" s="30" t="str">
        <f t="shared" si="1"/>
        <v/>
      </c>
      <c r="J94" s="30" t="str">
        <f>IF(C94="","",IF(ROW()=2,_xlfn.IFERROR(INDEX(Settings!$E$13:$E$32,MATCH(C94,Settings!$A$13:$A$32,0)),0)+H94,IF(C94=C93,J93+H94,_xlfn.IFERROR(INDEX(Settings!$E$13:$E$32,MATCH(C94,Settings!$A$13:$A$32,0)),0)+H94)))</f>
        <v/>
      </c>
      <c r="K94" s="26"/>
      <c r="L94" s="26"/>
      <c r="M94" s="26"/>
    </row>
    <row r="95" ht="15" customHeight="1">
      <c r="A95" s="31" t="str">
        <f t="shared" si="0"/>
        <v/>
      </c>
      <c r="B95" s="32"/>
      <c r="C95" s="31"/>
      <c r="D95" s="31" t="str">
        <f>IF(C95="","",_xlfn.IFERROR(INDEX(Settings!$B$13:$B$32,MATCH(C95,Settings!$A$13:$A$32,0)),""))</f>
        <v/>
      </c>
      <c r="E95" s="31"/>
      <c r="F95" s="31"/>
      <c r="G95" s="31"/>
      <c r="H95" s="34"/>
      <c r="I95" s="34" t="str">
        <f t="shared" si="1"/>
        <v/>
      </c>
      <c r="J95" s="34" t="str">
        <f>IF(C95="","",IF(ROW()=2,_xlfn.IFERROR(INDEX(Settings!$E$13:$E$32,MATCH(C95,Settings!$A$13:$A$32,0)),0)+H95,IF(C95=C94,J94+H95,_xlfn.IFERROR(INDEX(Settings!$E$13:$E$32,MATCH(C95,Settings!$A$13:$A$32,0)),0)+H95)))</f>
        <v/>
      </c>
      <c r="K95" s="31"/>
      <c r="L95" s="31"/>
      <c r="M95" s="31"/>
    </row>
    <row r="96" ht="15" customHeight="1">
      <c r="A96" s="26" t="str">
        <f t="shared" si="0"/>
        <v/>
      </c>
      <c r="B96" s="27"/>
      <c r="C96" s="26"/>
      <c r="D96" s="26" t="str">
        <f>IF(C96="","",_xlfn.IFERROR(INDEX(Settings!$B$13:$B$32,MATCH(C96,Settings!$A$13:$A$32,0)),""))</f>
        <v/>
      </c>
      <c r="E96" s="26"/>
      <c r="F96" s="26"/>
      <c r="G96" s="26"/>
      <c r="H96" s="30"/>
      <c r="I96" s="30" t="str">
        <f t="shared" si="1"/>
        <v/>
      </c>
      <c r="J96" s="30" t="str">
        <f>IF(C96="","",IF(ROW()=2,_xlfn.IFERROR(INDEX(Settings!$E$13:$E$32,MATCH(C96,Settings!$A$13:$A$32,0)),0)+H96,IF(C96=C95,J95+H96,_xlfn.IFERROR(INDEX(Settings!$E$13:$E$32,MATCH(C96,Settings!$A$13:$A$32,0)),0)+H96)))</f>
        <v/>
      </c>
      <c r="K96" s="26"/>
      <c r="L96" s="26"/>
      <c r="M96" s="26"/>
    </row>
    <row r="97" ht="15" customHeight="1">
      <c r="A97" s="31" t="str">
        <f t="shared" si="0"/>
        <v/>
      </c>
      <c r="B97" s="32"/>
      <c r="C97" s="31"/>
      <c r="D97" s="31" t="str">
        <f>IF(C97="","",_xlfn.IFERROR(INDEX(Settings!$B$13:$B$32,MATCH(C97,Settings!$A$13:$A$32,0)),""))</f>
        <v/>
      </c>
      <c r="E97" s="31"/>
      <c r="F97" s="31"/>
      <c r="G97" s="31"/>
      <c r="H97" s="34"/>
      <c r="I97" s="34" t="str">
        <f t="shared" si="1"/>
        <v/>
      </c>
      <c r="J97" s="34" t="str">
        <f>IF(C97="","",IF(ROW()=2,_xlfn.IFERROR(INDEX(Settings!$E$13:$E$32,MATCH(C97,Settings!$A$13:$A$32,0)),0)+H97,IF(C97=C96,J96+H97,_xlfn.IFERROR(INDEX(Settings!$E$13:$E$32,MATCH(C97,Settings!$A$13:$A$32,0)),0)+H97)))</f>
        <v/>
      </c>
      <c r="K97" s="31"/>
      <c r="L97" s="31"/>
      <c r="M97" s="31"/>
    </row>
    <row r="98" ht="15" customHeight="1">
      <c r="A98" s="26" t="str">
        <f t="shared" si="0"/>
        <v/>
      </c>
      <c r="B98" s="27"/>
      <c r="C98" s="26"/>
      <c r="D98" s="26" t="str">
        <f>IF(C98="","",_xlfn.IFERROR(INDEX(Settings!$B$13:$B$32,MATCH(C98,Settings!$A$13:$A$32,0)),""))</f>
        <v/>
      </c>
      <c r="E98" s="26"/>
      <c r="F98" s="26"/>
      <c r="G98" s="26"/>
      <c r="H98" s="30"/>
      <c r="I98" s="30" t="str">
        <f t="shared" si="1"/>
        <v/>
      </c>
      <c r="J98" s="30" t="str">
        <f>IF(C98="","",IF(ROW()=2,_xlfn.IFERROR(INDEX(Settings!$E$13:$E$32,MATCH(C98,Settings!$A$13:$A$32,0)),0)+H98,IF(C98=C97,J97+H98,_xlfn.IFERROR(INDEX(Settings!$E$13:$E$32,MATCH(C98,Settings!$A$13:$A$32,0)),0)+H98)))</f>
        <v/>
      </c>
      <c r="K98" s="26"/>
      <c r="L98" s="26"/>
      <c r="M98" s="26"/>
    </row>
    <row r="99" ht="15" customHeight="1">
      <c r="A99" s="31" t="str">
        <f t="shared" si="0"/>
        <v/>
      </c>
      <c r="B99" s="32"/>
      <c r="C99" s="31"/>
      <c r="D99" s="31" t="str">
        <f>IF(C99="","",_xlfn.IFERROR(INDEX(Settings!$B$13:$B$32,MATCH(C99,Settings!$A$13:$A$32,0)),""))</f>
        <v/>
      </c>
      <c r="E99" s="31"/>
      <c r="F99" s="31"/>
      <c r="G99" s="31"/>
      <c r="H99" s="34"/>
      <c r="I99" s="34" t="str">
        <f t="shared" si="1"/>
        <v/>
      </c>
      <c r="J99" s="34" t="str">
        <f>IF(C99="","",IF(ROW()=2,_xlfn.IFERROR(INDEX(Settings!$E$13:$E$32,MATCH(C99,Settings!$A$13:$A$32,0)),0)+H99,IF(C99=C98,J98+H99,_xlfn.IFERROR(INDEX(Settings!$E$13:$E$32,MATCH(C99,Settings!$A$13:$A$32,0)),0)+H99)))</f>
        <v/>
      </c>
      <c r="K99" s="31"/>
      <c r="L99" s="31"/>
      <c r="M99" s="31"/>
    </row>
    <row r="100" ht="15" customHeight="1">
      <c r="A100" s="26" t="str">
        <f t="shared" si="0"/>
        <v/>
      </c>
      <c r="B100" s="27"/>
      <c r="C100" s="26"/>
      <c r="D100" s="26" t="str">
        <f>IF(C100="","",_xlfn.IFERROR(INDEX(Settings!$B$13:$B$32,MATCH(C100,Settings!$A$13:$A$32,0)),""))</f>
        <v/>
      </c>
      <c r="E100" s="26"/>
      <c r="F100" s="26"/>
      <c r="G100" s="26"/>
      <c r="H100" s="30"/>
      <c r="I100" s="30" t="str">
        <f t="shared" si="1"/>
        <v/>
      </c>
      <c r="J100" s="30" t="str">
        <f>IF(C100="","",IF(ROW()=2,_xlfn.IFERROR(INDEX(Settings!$E$13:$E$32,MATCH(C100,Settings!$A$13:$A$32,0)),0)+H100,IF(C100=C99,J99+H100,_xlfn.IFERROR(INDEX(Settings!$E$13:$E$32,MATCH(C100,Settings!$A$13:$A$32,0)),0)+H100)))</f>
        <v/>
      </c>
      <c r="K100" s="26"/>
      <c r="L100" s="26"/>
      <c r="M100" s="26"/>
    </row>
    <row r="101" ht="15" customHeight="1">
      <c r="A101" s="31" t="str">
        <f t="shared" si="0"/>
        <v/>
      </c>
      <c r="B101" s="32"/>
      <c r="C101" s="31"/>
      <c r="D101" s="31" t="str">
        <f>IF(C101="","",_xlfn.IFERROR(INDEX(Settings!$B$13:$B$32,MATCH(C101,Settings!$A$13:$A$32,0)),""))</f>
        <v/>
      </c>
      <c r="E101" s="31"/>
      <c r="F101" s="31"/>
      <c r="G101" s="31"/>
      <c r="H101" s="34"/>
      <c r="I101" s="34" t="str">
        <f t="shared" si="1"/>
        <v/>
      </c>
      <c r="J101" s="34" t="str">
        <f>IF(C101="","",IF(ROW()=2,_xlfn.IFERROR(INDEX(Settings!$E$13:$E$32,MATCH(C101,Settings!$A$13:$A$32,0)),0)+H101,IF(C101=C100,J100+H101,_xlfn.IFERROR(INDEX(Settings!$E$13:$E$32,MATCH(C101,Settings!$A$13:$A$32,0)),0)+H101)))</f>
        <v/>
      </c>
      <c r="K101" s="31"/>
      <c r="L101" s="31"/>
      <c r="M101" s="31"/>
    </row>
  </sheetData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373A48A4-E638-26B2-7E0B-FD2EA66E3064}" mc:Ignorable="x14ac xr xr2 xr3">
  <dimension ref="A1:GR1000"/>
  <sheetViews>
    <sheetView topLeftCell="A1" workbookViewId="0">
      <pane ySplit="18" topLeftCell="A69" activePane="bottomLeft" state="frozen"/>
      <selection pane="bottomLeft" activeCell="A81" sqref="A81"/>
    </sheetView>
  </sheetViews>
  <sheetFormatPr defaultRowHeight="15" defaultColWidth="8.8515625" customHeight="1"/>
  <cols>
    <col min="1" max="1" width="12.8515625" customWidth="1"/>
    <col min="2" max="2" width="17.140625" customWidth="1"/>
    <col min="3" max="5" width="18.57421875" customWidth="1"/>
    <col min="6" max="6" width="20.7109375" customWidth="1"/>
  </cols>
  <sheetData>
    <row r="1" ht="21" customHeight="1">
      <c r="A1" s="35" t="s">
        <v>93</v>
      </c>
    </row>
    <row r="3" ht="15" customHeight="1">
      <c r="A3" s="36" t="s">
        <v>94</v>
      </c>
    </row>
    <row r="5" ht="17.25" customHeight="1">
      <c r="A5" s="37" t="s">
        <v>95</v>
      </c>
    </row>
    <row r="7" ht="15.75" customHeight="1">
      <c r="A7" s="38" t="s">
        <v>96</v>
      </c>
      <c r="B7" s="39"/>
      <c r="D7" s="40" t="s">
        <v>97</v>
      </c>
    </row>
    <row r="8" ht="15" customHeight="1">
      <c r="A8" s="38" t="s">
        <v>98</v>
      </c>
      <c r="B8" t="str">
        <f>IF(B7="","",_xlfn.IFERROR(INDEX(Settings!$B$13:$B$32,MATCH(B7,Settings!$A$13:$A$32,0)),"Not Found"))</f>
        <v/>
      </c>
    </row>
    <row r="9" ht="15" customHeight="1">
      <c r="A9" s="38" t="s">
        <v>99</v>
      </c>
      <c r="B9" s="41" t="str">
        <f>IF(B7="","",_xlfn.IFERROR(INDEX(Settings!$E$13:$E$32,MATCH(B7,Settings!$A$13:$A$32,0)),0))</f>
        <v/>
      </c>
      <c r="D9" s="38" t="s">
        <v>100</v>
      </c>
      <c r="E9" s="42" t="str">
        <f>IF(B11="","",COUNTA(A19:A500)-1)</f>
        <v/>
      </c>
    </row>
    <row r="10" ht="15" customHeight="1">
      <c r="A10" s="38" t="s">
        <v>101</v>
      </c>
      <c r="B10" s="43" t="str">
        <f>IF(B7="","",_xlfn.IFERROR(INDEX(Settings!$F$13:$F$32,MATCH(B7,Settings!$A$13:$A$32,0)),0))</f>
        <v/>
      </c>
      <c r="D10" s="38" t="s">
        <v>102</v>
      </c>
      <c r="E10" s="41" t="str">
        <f>IF(B11="","",SUM(C19:C500))</f>
        <v/>
      </c>
    </row>
    <row r="11" ht="15" customHeight="1">
      <c r="A11" s="38" t="s">
        <v>103</v>
      </c>
      <c r="B11" s="44"/>
      <c r="D11" s="38" t="s">
        <v>104</v>
      </c>
      <c r="E11" s="41" t="str">
        <f>IF(B11="","",SUM(B19:B500))</f>
        <v/>
      </c>
    </row>
    <row r="12" ht="15" customHeight="1">
      <c r="A12" s="38" t="s">
        <v>105</v>
      </c>
      <c r="B12" s="45"/>
      <c r="D12" s="38" t="s">
        <v>106</v>
      </c>
      <c r="E12" s="41" t="str">
        <f>B9</f>
        <v/>
      </c>
    </row>
    <row r="14" ht="15" customHeight="1">
      <c r="A14" s="38" t="s">
        <v>107</v>
      </c>
      <c r="B14" s="20" t="s">
        <v>108</v>
      </c>
    </row>
    <row r="17" ht="17.25" customHeight="1">
      <c r="A17" s="37" t="s">
        <v>109</v>
      </c>
    </row>
    <row r="18" ht="15" customHeight="1">
      <c r="A18" s="25" t="s">
        <v>110</v>
      </c>
      <c r="B18" s="25" t="s">
        <v>111</v>
      </c>
      <c r="C18" s="25" t="s">
        <v>112</v>
      </c>
      <c r="D18" s="25" t="s">
        <v>113</v>
      </c>
      <c r="E18" s="25" t="s">
        <v>114</v>
      </c>
      <c r="F18" s="25" t="s">
        <v>115</v>
      </c>
    </row>
    <row r="19" ht="15" customHeight="1">
      <c r="A19" s="46">
        <v>1</v>
      </c>
      <c r="B19" s="47">
        <f>IF($B$12,"",$B$12)</f>
        <v>0</v>
      </c>
      <c r="C19" s="48">
        <f>IF($B$11,"",$B$11)</f>
        <v>0</v>
      </c>
      <c r="D19" s="48" t="e">
        <f>IF($B$9,"",($B$9)*($B$10/100/12))</f>
        <v>#VALUE!</v>
      </c>
      <c r="E19" s="48" t="e">
        <f>IF($B$11,"",C19-D19)</f>
        <v>#VALUE!</v>
      </c>
      <c r="F19" s="48" t="e">
        <f>IF($B$9,"",$B$9-E19)</f>
        <v>#VALUE!</v>
      </c>
    </row>
    <row r="20" ht="15" customHeight="1">
      <c r="A20" s="49" t="e">
        <f t="shared" si="0" ref="A20:A78">IF(F19,"",IF(F19&lt;=0,"",A19+1))</f>
        <v>#VALUE!</v>
      </c>
      <c r="B20" s="50" t="e">
        <f t="shared" si="1" ref="B20:B78">IF(A20,"",EDATE(B19,1))</f>
        <v>#VALUE!</v>
      </c>
      <c r="C20" s="51" t="e">
        <f t="shared" si="2" ref="C20:C78">IF(A20,"",IF(F19&lt;$B$11,F19*(1+$B$10/100/12),$B$11))</f>
        <v>#VALUE!</v>
      </c>
      <c r="D20" s="51" t="e">
        <f t="shared" si="3" ref="D20:D78">IF(A20,"",F19*($B$10/100/12))</f>
        <v>#VALUE!</v>
      </c>
      <c r="E20" s="51" t="e">
        <f t="shared" si="4" ref="E20:E78">IF(A20,"",C20-D20)</f>
        <v>#VALUE!</v>
      </c>
      <c r="F20" s="51" t="e">
        <f t="shared" si="5" ref="F20:F78">IF(A20,"",MAX(0,F19-E20))</f>
        <v>#VALUE!</v>
      </c>
    </row>
    <row r="21" ht="15" customHeight="1">
      <c r="A21" s="46" t="e">
        <f t="shared" si="0"/>
        <v>#VALUE!</v>
      </c>
      <c r="B21" s="47" t="e">
        <f t="shared" si="1"/>
        <v>#VALUE!</v>
      </c>
      <c r="C21" s="48" t="e">
        <f t="shared" si="2"/>
        <v>#VALUE!</v>
      </c>
      <c r="D21" s="48" t="e">
        <f t="shared" si="3"/>
        <v>#VALUE!</v>
      </c>
      <c r="E21" s="48" t="e">
        <f t="shared" si="4"/>
        <v>#VALUE!</v>
      </c>
      <c r="F21" s="48" t="e">
        <f t="shared" si="5"/>
        <v>#VALUE!</v>
      </c>
    </row>
    <row r="22" ht="15" customHeight="1">
      <c r="A22" s="49" t="e">
        <f t="shared" si="0"/>
        <v>#VALUE!</v>
      </c>
      <c r="B22" s="50" t="e">
        <f t="shared" si="1"/>
        <v>#VALUE!</v>
      </c>
      <c r="C22" s="51" t="e">
        <f t="shared" si="2"/>
        <v>#VALUE!</v>
      </c>
      <c r="D22" s="51" t="e">
        <f t="shared" si="3"/>
        <v>#VALUE!</v>
      </c>
      <c r="E22" s="51" t="e">
        <f t="shared" si="4"/>
        <v>#VALUE!</v>
      </c>
      <c r="F22" s="51" t="e">
        <f t="shared" si="5"/>
        <v>#VALUE!</v>
      </c>
    </row>
    <row r="23" ht="15" customHeight="1">
      <c r="A23" s="46" t="e">
        <f t="shared" si="0"/>
        <v>#VALUE!</v>
      </c>
      <c r="B23" s="47" t="e">
        <f t="shared" si="1"/>
        <v>#VALUE!</v>
      </c>
      <c r="C23" s="48" t="e">
        <f t="shared" si="2"/>
        <v>#VALUE!</v>
      </c>
      <c r="D23" s="48" t="e">
        <f t="shared" si="3"/>
        <v>#VALUE!</v>
      </c>
      <c r="E23" s="48" t="e">
        <f t="shared" si="4"/>
        <v>#VALUE!</v>
      </c>
      <c r="F23" s="48" t="e">
        <f t="shared" si="5"/>
        <v>#VALUE!</v>
      </c>
    </row>
    <row r="24" ht="15" customHeight="1">
      <c r="A24" s="49" t="e">
        <f t="shared" si="0"/>
        <v>#VALUE!</v>
      </c>
      <c r="B24" s="50" t="e">
        <f t="shared" si="1"/>
        <v>#VALUE!</v>
      </c>
      <c r="C24" s="51" t="e">
        <f t="shared" si="2"/>
        <v>#VALUE!</v>
      </c>
      <c r="D24" s="51" t="e">
        <f t="shared" si="3"/>
        <v>#VALUE!</v>
      </c>
      <c r="E24" s="51" t="e">
        <f t="shared" si="4"/>
        <v>#VALUE!</v>
      </c>
      <c r="F24" s="51" t="e">
        <f t="shared" si="5"/>
        <v>#VALUE!</v>
      </c>
    </row>
    <row r="25" ht="15" customHeight="1">
      <c r="A25" s="46" t="e">
        <f t="shared" si="0"/>
        <v>#VALUE!</v>
      </c>
      <c r="B25" s="47" t="e">
        <f t="shared" si="1"/>
        <v>#VALUE!</v>
      </c>
      <c r="C25" s="48" t="e">
        <f t="shared" si="2"/>
        <v>#VALUE!</v>
      </c>
      <c r="D25" s="48" t="e">
        <f t="shared" si="3"/>
        <v>#VALUE!</v>
      </c>
      <c r="E25" s="48" t="e">
        <f t="shared" si="4"/>
        <v>#VALUE!</v>
      </c>
      <c r="F25" s="48" t="e">
        <f t="shared" si="5"/>
        <v>#VALUE!</v>
      </c>
    </row>
    <row r="26" ht="15" customHeight="1">
      <c r="A26" s="49" t="e">
        <f t="shared" si="0"/>
        <v>#VALUE!</v>
      </c>
      <c r="B26" s="50" t="e">
        <f t="shared" si="1"/>
        <v>#VALUE!</v>
      </c>
      <c r="C26" s="51" t="e">
        <f t="shared" si="2"/>
        <v>#VALUE!</v>
      </c>
      <c r="D26" s="51" t="e">
        <f t="shared" si="3"/>
        <v>#VALUE!</v>
      </c>
      <c r="E26" s="51" t="e">
        <f t="shared" si="4"/>
        <v>#VALUE!</v>
      </c>
      <c r="F26" s="51" t="e">
        <f t="shared" si="5"/>
        <v>#VALUE!</v>
      </c>
    </row>
    <row r="27" ht="15" customHeight="1">
      <c r="A27" s="46" t="e">
        <f t="shared" si="0"/>
        <v>#VALUE!</v>
      </c>
      <c r="B27" s="47" t="e">
        <f t="shared" si="1"/>
        <v>#VALUE!</v>
      </c>
      <c r="C27" s="48" t="e">
        <f t="shared" si="2"/>
        <v>#VALUE!</v>
      </c>
      <c r="D27" s="48" t="e">
        <f t="shared" si="3"/>
        <v>#VALUE!</v>
      </c>
      <c r="E27" s="48" t="e">
        <f t="shared" si="4"/>
        <v>#VALUE!</v>
      </c>
      <c r="F27" s="48" t="e">
        <f t="shared" si="5"/>
        <v>#VALUE!</v>
      </c>
    </row>
    <row r="28" ht="15" customHeight="1">
      <c r="A28" s="49" t="e">
        <f t="shared" si="0"/>
        <v>#VALUE!</v>
      </c>
      <c r="B28" s="50" t="e">
        <f t="shared" si="1"/>
        <v>#VALUE!</v>
      </c>
      <c r="C28" s="51" t="e">
        <f t="shared" si="2"/>
        <v>#VALUE!</v>
      </c>
      <c r="D28" s="51" t="e">
        <f t="shared" si="3"/>
        <v>#VALUE!</v>
      </c>
      <c r="E28" s="51" t="e">
        <f t="shared" si="4"/>
        <v>#VALUE!</v>
      </c>
      <c r="F28" s="51" t="e">
        <f t="shared" si="5"/>
        <v>#VALUE!</v>
      </c>
    </row>
    <row r="29" ht="15" customHeight="1">
      <c r="A29" s="46" t="e">
        <f t="shared" si="0"/>
        <v>#VALUE!</v>
      </c>
      <c r="B29" s="47" t="e">
        <f t="shared" si="1"/>
        <v>#VALUE!</v>
      </c>
      <c r="C29" s="48" t="e">
        <f t="shared" si="2"/>
        <v>#VALUE!</v>
      </c>
      <c r="D29" s="48" t="e">
        <f t="shared" si="3"/>
        <v>#VALUE!</v>
      </c>
      <c r="E29" s="48" t="e">
        <f t="shared" si="4"/>
        <v>#VALUE!</v>
      </c>
      <c r="F29" s="48" t="e">
        <f t="shared" si="5"/>
        <v>#VALUE!</v>
      </c>
    </row>
    <row r="30" ht="15" customHeight="1">
      <c r="A30" s="49" t="e">
        <f t="shared" si="0"/>
        <v>#VALUE!</v>
      </c>
      <c r="B30" s="50" t="e">
        <f t="shared" si="1"/>
        <v>#VALUE!</v>
      </c>
      <c r="C30" s="51" t="e">
        <f t="shared" si="2"/>
        <v>#VALUE!</v>
      </c>
      <c r="D30" s="51" t="e">
        <f t="shared" si="3"/>
        <v>#VALUE!</v>
      </c>
      <c r="E30" s="51" t="e">
        <f t="shared" si="4"/>
        <v>#VALUE!</v>
      </c>
      <c r="F30" s="51" t="e">
        <f t="shared" si="5"/>
        <v>#VALUE!</v>
      </c>
    </row>
    <row r="31" ht="15" customHeight="1">
      <c r="A31" s="46" t="e">
        <f t="shared" si="0"/>
        <v>#VALUE!</v>
      </c>
      <c r="B31" s="47" t="e">
        <f t="shared" si="1"/>
        <v>#VALUE!</v>
      </c>
      <c r="C31" s="48" t="e">
        <f t="shared" si="2"/>
        <v>#VALUE!</v>
      </c>
      <c r="D31" s="48" t="e">
        <f t="shared" si="3"/>
        <v>#VALUE!</v>
      </c>
      <c r="E31" s="48" t="e">
        <f t="shared" si="4"/>
        <v>#VALUE!</v>
      </c>
      <c r="F31" s="48" t="e">
        <f t="shared" si="5"/>
        <v>#VALUE!</v>
      </c>
    </row>
    <row r="32" ht="15" customHeight="1">
      <c r="A32" s="49" t="e">
        <f t="shared" si="0"/>
        <v>#VALUE!</v>
      </c>
      <c r="B32" s="50" t="e">
        <f t="shared" si="1"/>
        <v>#VALUE!</v>
      </c>
      <c r="C32" s="51" t="e">
        <f t="shared" si="2"/>
        <v>#VALUE!</v>
      </c>
      <c r="D32" s="51" t="e">
        <f t="shared" si="3"/>
        <v>#VALUE!</v>
      </c>
      <c r="E32" s="51" t="e">
        <f t="shared" si="4"/>
        <v>#VALUE!</v>
      </c>
      <c r="F32" s="51" t="e">
        <f t="shared" si="5"/>
        <v>#VALUE!</v>
      </c>
    </row>
    <row r="33" ht="15" customHeight="1">
      <c r="A33" s="46" t="e">
        <f t="shared" si="0"/>
        <v>#VALUE!</v>
      </c>
      <c r="B33" s="47" t="e">
        <f t="shared" si="1"/>
        <v>#VALUE!</v>
      </c>
      <c r="C33" s="48" t="e">
        <f t="shared" si="2"/>
        <v>#VALUE!</v>
      </c>
      <c r="D33" s="48" t="e">
        <f t="shared" si="3"/>
        <v>#VALUE!</v>
      </c>
      <c r="E33" s="48" t="e">
        <f t="shared" si="4"/>
        <v>#VALUE!</v>
      </c>
      <c r="F33" s="48" t="e">
        <f t="shared" si="5"/>
        <v>#VALUE!</v>
      </c>
    </row>
    <row r="34" ht="15" customHeight="1">
      <c r="A34" s="49" t="e">
        <f t="shared" si="0"/>
        <v>#VALUE!</v>
      </c>
      <c r="B34" s="50" t="e">
        <f t="shared" si="1"/>
        <v>#VALUE!</v>
      </c>
      <c r="C34" s="51" t="e">
        <f t="shared" si="2"/>
        <v>#VALUE!</v>
      </c>
      <c r="D34" s="51" t="e">
        <f t="shared" si="3"/>
        <v>#VALUE!</v>
      </c>
      <c r="E34" s="51" t="e">
        <f t="shared" si="4"/>
        <v>#VALUE!</v>
      </c>
      <c r="F34" s="51" t="e">
        <f t="shared" si="5"/>
        <v>#VALUE!</v>
      </c>
    </row>
    <row r="35" ht="15" customHeight="1">
      <c r="A35" s="46" t="e">
        <f t="shared" si="0"/>
        <v>#VALUE!</v>
      </c>
      <c r="B35" s="47" t="e">
        <f t="shared" si="1"/>
        <v>#VALUE!</v>
      </c>
      <c r="C35" s="48" t="e">
        <f t="shared" si="2"/>
        <v>#VALUE!</v>
      </c>
      <c r="D35" s="48" t="e">
        <f t="shared" si="3"/>
        <v>#VALUE!</v>
      </c>
      <c r="E35" s="48" t="e">
        <f t="shared" si="4"/>
        <v>#VALUE!</v>
      </c>
      <c r="F35" s="48" t="e">
        <f t="shared" si="5"/>
        <v>#VALUE!</v>
      </c>
    </row>
    <row r="36" ht="15" customHeight="1">
      <c r="A36" s="49" t="e">
        <f t="shared" si="0"/>
        <v>#VALUE!</v>
      </c>
      <c r="B36" s="50" t="e">
        <f t="shared" si="1"/>
        <v>#VALUE!</v>
      </c>
      <c r="C36" s="51" t="e">
        <f t="shared" si="2"/>
        <v>#VALUE!</v>
      </c>
      <c r="D36" s="51" t="e">
        <f t="shared" si="3"/>
        <v>#VALUE!</v>
      </c>
      <c r="E36" s="51" t="e">
        <f t="shared" si="4"/>
        <v>#VALUE!</v>
      </c>
      <c r="F36" s="51" t="e">
        <f t="shared" si="5"/>
        <v>#VALUE!</v>
      </c>
    </row>
    <row r="37" ht="15" customHeight="1">
      <c r="A37" s="46" t="e">
        <f t="shared" si="0"/>
        <v>#VALUE!</v>
      </c>
      <c r="B37" s="47" t="e">
        <f t="shared" si="1"/>
        <v>#VALUE!</v>
      </c>
      <c r="C37" s="48" t="e">
        <f t="shared" si="2"/>
        <v>#VALUE!</v>
      </c>
      <c r="D37" s="48" t="e">
        <f t="shared" si="3"/>
        <v>#VALUE!</v>
      </c>
      <c r="E37" s="48" t="e">
        <f t="shared" si="4"/>
        <v>#VALUE!</v>
      </c>
      <c r="F37" s="48" t="e">
        <f t="shared" si="5"/>
        <v>#VALUE!</v>
      </c>
    </row>
    <row r="38" ht="15" customHeight="1">
      <c r="A38" s="49" t="e">
        <f t="shared" si="0"/>
        <v>#VALUE!</v>
      </c>
      <c r="B38" s="50" t="e">
        <f t="shared" si="1"/>
        <v>#VALUE!</v>
      </c>
      <c r="C38" s="51" t="e">
        <f t="shared" si="2"/>
        <v>#VALUE!</v>
      </c>
      <c r="D38" s="51" t="e">
        <f t="shared" si="3"/>
        <v>#VALUE!</v>
      </c>
      <c r="E38" s="51" t="e">
        <f t="shared" si="4"/>
        <v>#VALUE!</v>
      </c>
      <c r="F38" s="51" t="e">
        <f t="shared" si="5"/>
        <v>#VALUE!</v>
      </c>
    </row>
    <row r="39" ht="15" customHeight="1">
      <c r="A39" s="46" t="e">
        <f t="shared" si="0"/>
        <v>#VALUE!</v>
      </c>
      <c r="B39" s="47" t="e">
        <f t="shared" si="1"/>
        <v>#VALUE!</v>
      </c>
      <c r="C39" s="48" t="e">
        <f t="shared" si="2"/>
        <v>#VALUE!</v>
      </c>
      <c r="D39" s="48" t="e">
        <f t="shared" si="3"/>
        <v>#VALUE!</v>
      </c>
      <c r="E39" s="48" t="e">
        <f t="shared" si="4"/>
        <v>#VALUE!</v>
      </c>
      <c r="F39" s="48" t="e">
        <f t="shared" si="5"/>
        <v>#VALUE!</v>
      </c>
    </row>
    <row r="40" ht="15" customHeight="1">
      <c r="A40" s="49" t="e">
        <f t="shared" si="0"/>
        <v>#VALUE!</v>
      </c>
      <c r="B40" s="50" t="e">
        <f t="shared" si="1"/>
        <v>#VALUE!</v>
      </c>
      <c r="C40" s="51" t="e">
        <f t="shared" si="2"/>
        <v>#VALUE!</v>
      </c>
      <c r="D40" s="51" t="e">
        <f t="shared" si="3"/>
        <v>#VALUE!</v>
      </c>
      <c r="E40" s="51" t="e">
        <f t="shared" si="4"/>
        <v>#VALUE!</v>
      </c>
      <c r="F40" s="51" t="e">
        <f t="shared" si="5"/>
        <v>#VALUE!</v>
      </c>
    </row>
    <row r="41" ht="15" customHeight="1">
      <c r="A41" s="46" t="e">
        <f t="shared" si="0"/>
        <v>#VALUE!</v>
      </c>
      <c r="B41" s="47" t="e">
        <f t="shared" si="1"/>
        <v>#VALUE!</v>
      </c>
      <c r="C41" s="48" t="e">
        <f t="shared" si="2"/>
        <v>#VALUE!</v>
      </c>
      <c r="D41" s="48" t="e">
        <f t="shared" si="3"/>
        <v>#VALUE!</v>
      </c>
      <c r="E41" s="48" t="e">
        <f t="shared" si="4"/>
        <v>#VALUE!</v>
      </c>
      <c r="F41" s="48" t="e">
        <f t="shared" si="5"/>
        <v>#VALUE!</v>
      </c>
    </row>
    <row r="42" ht="15" customHeight="1">
      <c r="A42" s="49" t="e">
        <f t="shared" si="0"/>
        <v>#VALUE!</v>
      </c>
      <c r="B42" s="50" t="e">
        <f t="shared" si="1"/>
        <v>#VALUE!</v>
      </c>
      <c r="C42" s="51" t="e">
        <f t="shared" si="2"/>
        <v>#VALUE!</v>
      </c>
      <c r="D42" s="51" t="e">
        <f t="shared" si="3"/>
        <v>#VALUE!</v>
      </c>
      <c r="E42" s="51" t="e">
        <f t="shared" si="4"/>
        <v>#VALUE!</v>
      </c>
      <c r="F42" s="51" t="e">
        <f t="shared" si="5"/>
        <v>#VALUE!</v>
      </c>
    </row>
    <row r="43" ht="15" customHeight="1">
      <c r="A43" s="46" t="e">
        <f t="shared" si="0"/>
        <v>#VALUE!</v>
      </c>
      <c r="B43" s="47" t="e">
        <f t="shared" si="1"/>
        <v>#VALUE!</v>
      </c>
      <c r="C43" s="48" t="e">
        <f t="shared" si="2"/>
        <v>#VALUE!</v>
      </c>
      <c r="D43" s="48" t="e">
        <f t="shared" si="3"/>
        <v>#VALUE!</v>
      </c>
      <c r="E43" s="48" t="e">
        <f t="shared" si="4"/>
        <v>#VALUE!</v>
      </c>
      <c r="F43" s="48" t="e">
        <f t="shared" si="5"/>
        <v>#VALUE!</v>
      </c>
    </row>
    <row r="44" ht="15" customHeight="1">
      <c r="A44" s="49" t="e">
        <f t="shared" si="0"/>
        <v>#VALUE!</v>
      </c>
      <c r="B44" s="50" t="e">
        <f t="shared" si="1"/>
        <v>#VALUE!</v>
      </c>
      <c r="C44" s="51" t="e">
        <f t="shared" si="2"/>
        <v>#VALUE!</v>
      </c>
      <c r="D44" s="51" t="e">
        <f t="shared" si="3"/>
        <v>#VALUE!</v>
      </c>
      <c r="E44" s="51" t="e">
        <f t="shared" si="4"/>
        <v>#VALUE!</v>
      </c>
      <c r="F44" s="51" t="e">
        <f t="shared" si="5"/>
        <v>#VALUE!</v>
      </c>
    </row>
    <row r="45" ht="15" customHeight="1">
      <c r="A45" s="46" t="e">
        <f t="shared" si="0"/>
        <v>#VALUE!</v>
      </c>
      <c r="B45" s="47" t="e">
        <f t="shared" si="1"/>
        <v>#VALUE!</v>
      </c>
      <c r="C45" s="48" t="e">
        <f t="shared" si="2"/>
        <v>#VALUE!</v>
      </c>
      <c r="D45" s="48" t="e">
        <f t="shared" si="3"/>
        <v>#VALUE!</v>
      </c>
      <c r="E45" s="48" t="e">
        <f t="shared" si="4"/>
        <v>#VALUE!</v>
      </c>
      <c r="F45" s="48" t="e">
        <f t="shared" si="5"/>
        <v>#VALUE!</v>
      </c>
    </row>
    <row r="46" ht="15" customHeight="1">
      <c r="A46" s="49" t="e">
        <f t="shared" si="0"/>
        <v>#VALUE!</v>
      </c>
      <c r="B46" s="50" t="e">
        <f t="shared" si="1"/>
        <v>#VALUE!</v>
      </c>
      <c r="C46" s="51" t="e">
        <f t="shared" si="2"/>
        <v>#VALUE!</v>
      </c>
      <c r="D46" s="51" t="e">
        <f t="shared" si="3"/>
        <v>#VALUE!</v>
      </c>
      <c r="E46" s="51" t="e">
        <f t="shared" si="4"/>
        <v>#VALUE!</v>
      </c>
      <c r="F46" s="51" t="e">
        <f t="shared" si="5"/>
        <v>#VALUE!</v>
      </c>
    </row>
    <row r="47" ht="15" customHeight="1">
      <c r="A47" s="46" t="e">
        <f t="shared" si="0"/>
        <v>#VALUE!</v>
      </c>
      <c r="B47" s="47" t="e">
        <f t="shared" si="1"/>
        <v>#VALUE!</v>
      </c>
      <c r="C47" s="48" t="e">
        <f t="shared" si="2"/>
        <v>#VALUE!</v>
      </c>
      <c r="D47" s="48" t="e">
        <f t="shared" si="3"/>
        <v>#VALUE!</v>
      </c>
      <c r="E47" s="48" t="e">
        <f t="shared" si="4"/>
        <v>#VALUE!</v>
      </c>
      <c r="F47" s="48" t="e">
        <f t="shared" si="5"/>
        <v>#VALUE!</v>
      </c>
    </row>
    <row r="48" ht="15" customHeight="1">
      <c r="A48" s="49" t="e">
        <f t="shared" si="0"/>
        <v>#VALUE!</v>
      </c>
      <c r="B48" s="50" t="e">
        <f t="shared" si="1"/>
        <v>#VALUE!</v>
      </c>
      <c r="C48" s="51" t="e">
        <f t="shared" si="2"/>
        <v>#VALUE!</v>
      </c>
      <c r="D48" s="51" t="e">
        <f t="shared" si="3"/>
        <v>#VALUE!</v>
      </c>
      <c r="E48" s="51" t="e">
        <f t="shared" si="4"/>
        <v>#VALUE!</v>
      </c>
      <c r="F48" s="51" t="e">
        <f t="shared" si="5"/>
        <v>#VALUE!</v>
      </c>
    </row>
    <row r="49" ht="15" customHeight="1">
      <c r="A49" s="46" t="e">
        <f t="shared" si="0"/>
        <v>#VALUE!</v>
      </c>
      <c r="B49" s="47" t="e">
        <f t="shared" si="1"/>
        <v>#VALUE!</v>
      </c>
      <c r="C49" s="48" t="e">
        <f t="shared" si="2"/>
        <v>#VALUE!</v>
      </c>
      <c r="D49" s="48" t="e">
        <f t="shared" si="3"/>
        <v>#VALUE!</v>
      </c>
      <c r="E49" s="48" t="e">
        <f t="shared" si="4"/>
        <v>#VALUE!</v>
      </c>
      <c r="F49" s="48" t="e">
        <f t="shared" si="5"/>
        <v>#VALUE!</v>
      </c>
    </row>
    <row r="50" ht="15" customHeight="1">
      <c r="A50" s="49" t="e">
        <f t="shared" si="0"/>
        <v>#VALUE!</v>
      </c>
      <c r="B50" s="50" t="e">
        <f t="shared" si="1"/>
        <v>#VALUE!</v>
      </c>
      <c r="C50" s="51" t="e">
        <f t="shared" si="2"/>
        <v>#VALUE!</v>
      </c>
      <c r="D50" s="51" t="e">
        <f t="shared" si="3"/>
        <v>#VALUE!</v>
      </c>
      <c r="E50" s="51" t="e">
        <f t="shared" si="4"/>
        <v>#VALUE!</v>
      </c>
      <c r="F50" s="51" t="e">
        <f t="shared" si="5"/>
        <v>#VALUE!</v>
      </c>
    </row>
    <row r="51" ht="15" customHeight="1">
      <c r="A51" s="46" t="e">
        <f t="shared" si="0"/>
        <v>#VALUE!</v>
      </c>
      <c r="B51" s="47" t="e">
        <f t="shared" si="1"/>
        <v>#VALUE!</v>
      </c>
      <c r="C51" s="48" t="e">
        <f t="shared" si="2"/>
        <v>#VALUE!</v>
      </c>
      <c r="D51" s="48" t="e">
        <f t="shared" si="3"/>
        <v>#VALUE!</v>
      </c>
      <c r="E51" s="48" t="e">
        <f t="shared" si="4"/>
        <v>#VALUE!</v>
      </c>
      <c r="F51" s="48" t="e">
        <f t="shared" si="5"/>
        <v>#VALUE!</v>
      </c>
    </row>
    <row r="52" ht="15" customHeight="1">
      <c r="A52" s="49" t="e">
        <f t="shared" si="0"/>
        <v>#VALUE!</v>
      </c>
      <c r="B52" s="50" t="e">
        <f t="shared" si="1"/>
        <v>#VALUE!</v>
      </c>
      <c r="C52" s="51" t="e">
        <f t="shared" si="2"/>
        <v>#VALUE!</v>
      </c>
      <c r="D52" s="51" t="e">
        <f t="shared" si="3"/>
        <v>#VALUE!</v>
      </c>
      <c r="E52" s="51" t="e">
        <f t="shared" si="4"/>
        <v>#VALUE!</v>
      </c>
      <c r="F52" s="51" t="e">
        <f t="shared" si="5"/>
        <v>#VALUE!</v>
      </c>
    </row>
    <row r="53" ht="15" customHeight="1">
      <c r="A53" s="46" t="e">
        <f t="shared" si="0"/>
        <v>#VALUE!</v>
      </c>
      <c r="B53" s="47" t="e">
        <f t="shared" si="1"/>
        <v>#VALUE!</v>
      </c>
      <c r="C53" s="48" t="e">
        <f t="shared" si="2"/>
        <v>#VALUE!</v>
      </c>
      <c r="D53" s="48" t="e">
        <f t="shared" si="3"/>
        <v>#VALUE!</v>
      </c>
      <c r="E53" s="48" t="e">
        <f t="shared" si="4"/>
        <v>#VALUE!</v>
      </c>
      <c r="F53" s="48" t="e">
        <f t="shared" si="5"/>
        <v>#VALUE!</v>
      </c>
    </row>
    <row r="54" ht="15" customHeight="1">
      <c r="A54" s="49" t="e">
        <f t="shared" si="0"/>
        <v>#VALUE!</v>
      </c>
      <c r="B54" s="50" t="e">
        <f t="shared" si="1"/>
        <v>#VALUE!</v>
      </c>
      <c r="C54" s="51" t="e">
        <f t="shared" si="2"/>
        <v>#VALUE!</v>
      </c>
      <c r="D54" s="51" t="e">
        <f t="shared" si="3"/>
        <v>#VALUE!</v>
      </c>
      <c r="E54" s="51" t="e">
        <f t="shared" si="4"/>
        <v>#VALUE!</v>
      </c>
      <c r="F54" s="51" t="e">
        <f t="shared" si="5"/>
        <v>#VALUE!</v>
      </c>
    </row>
    <row r="55" ht="15" customHeight="1">
      <c r="A55" s="46" t="e">
        <f t="shared" si="0"/>
        <v>#VALUE!</v>
      </c>
      <c r="B55" s="47" t="e">
        <f t="shared" si="1"/>
        <v>#VALUE!</v>
      </c>
      <c r="C55" s="48" t="e">
        <f t="shared" si="2"/>
        <v>#VALUE!</v>
      </c>
      <c r="D55" s="48" t="e">
        <f t="shared" si="3"/>
        <v>#VALUE!</v>
      </c>
      <c r="E55" s="48" t="e">
        <f t="shared" si="4"/>
        <v>#VALUE!</v>
      </c>
      <c r="F55" s="48" t="e">
        <f t="shared" si="5"/>
        <v>#VALUE!</v>
      </c>
    </row>
    <row r="56" ht="15" customHeight="1">
      <c r="A56" s="49" t="e">
        <f t="shared" si="0"/>
        <v>#VALUE!</v>
      </c>
      <c r="B56" s="50" t="e">
        <f t="shared" si="1"/>
        <v>#VALUE!</v>
      </c>
      <c r="C56" s="51" t="e">
        <f t="shared" si="2"/>
        <v>#VALUE!</v>
      </c>
      <c r="D56" s="51" t="e">
        <f t="shared" si="3"/>
        <v>#VALUE!</v>
      </c>
      <c r="E56" s="51" t="e">
        <f t="shared" si="4"/>
        <v>#VALUE!</v>
      </c>
      <c r="F56" s="51" t="e">
        <f t="shared" si="5"/>
        <v>#VALUE!</v>
      </c>
    </row>
    <row r="57" ht="15" customHeight="1">
      <c r="A57" s="46" t="e">
        <f t="shared" si="0"/>
        <v>#VALUE!</v>
      </c>
      <c r="B57" s="47" t="e">
        <f t="shared" si="1"/>
        <v>#VALUE!</v>
      </c>
      <c r="C57" s="48" t="e">
        <f t="shared" si="2"/>
        <v>#VALUE!</v>
      </c>
      <c r="D57" s="48" t="e">
        <f t="shared" si="3"/>
        <v>#VALUE!</v>
      </c>
      <c r="E57" s="48" t="e">
        <f t="shared" si="4"/>
        <v>#VALUE!</v>
      </c>
      <c r="F57" s="48" t="e">
        <f t="shared" si="5"/>
        <v>#VALUE!</v>
      </c>
    </row>
    <row r="58" ht="15" customHeight="1">
      <c r="A58" s="49" t="e">
        <f t="shared" si="0"/>
        <v>#VALUE!</v>
      </c>
      <c r="B58" s="50" t="e">
        <f t="shared" si="1"/>
        <v>#VALUE!</v>
      </c>
      <c r="C58" s="51" t="e">
        <f t="shared" si="2"/>
        <v>#VALUE!</v>
      </c>
      <c r="D58" s="51" t="e">
        <f t="shared" si="3"/>
        <v>#VALUE!</v>
      </c>
      <c r="E58" s="51" t="e">
        <f t="shared" si="4"/>
        <v>#VALUE!</v>
      </c>
      <c r="F58" s="51" t="e">
        <f t="shared" si="5"/>
        <v>#VALUE!</v>
      </c>
    </row>
    <row r="59" ht="15" customHeight="1">
      <c r="A59" s="46" t="e">
        <f t="shared" si="0"/>
        <v>#VALUE!</v>
      </c>
      <c r="B59" s="47" t="e">
        <f t="shared" si="1"/>
        <v>#VALUE!</v>
      </c>
      <c r="C59" s="48" t="e">
        <f t="shared" si="2"/>
        <v>#VALUE!</v>
      </c>
      <c r="D59" s="48" t="e">
        <f t="shared" si="3"/>
        <v>#VALUE!</v>
      </c>
      <c r="E59" s="48" t="e">
        <f t="shared" si="4"/>
        <v>#VALUE!</v>
      </c>
      <c r="F59" s="48" t="e">
        <f t="shared" si="5"/>
        <v>#VALUE!</v>
      </c>
    </row>
    <row r="60" ht="15" customHeight="1">
      <c r="A60" s="49" t="e">
        <f t="shared" si="0"/>
        <v>#VALUE!</v>
      </c>
      <c r="B60" s="50" t="e">
        <f t="shared" si="1"/>
        <v>#VALUE!</v>
      </c>
      <c r="C60" s="51" t="e">
        <f t="shared" si="2"/>
        <v>#VALUE!</v>
      </c>
      <c r="D60" s="51" t="e">
        <f t="shared" si="3"/>
        <v>#VALUE!</v>
      </c>
      <c r="E60" s="51" t="e">
        <f t="shared" si="4"/>
        <v>#VALUE!</v>
      </c>
      <c r="F60" s="51" t="e">
        <f t="shared" si="5"/>
        <v>#VALUE!</v>
      </c>
    </row>
    <row r="61" ht="15" customHeight="1">
      <c r="A61" s="46" t="e">
        <f t="shared" si="0"/>
        <v>#VALUE!</v>
      </c>
      <c r="B61" s="47" t="e">
        <f t="shared" si="1"/>
        <v>#VALUE!</v>
      </c>
      <c r="C61" s="48" t="e">
        <f t="shared" si="2"/>
        <v>#VALUE!</v>
      </c>
      <c r="D61" s="48" t="e">
        <f t="shared" si="3"/>
        <v>#VALUE!</v>
      </c>
      <c r="E61" s="48" t="e">
        <f t="shared" si="4"/>
        <v>#VALUE!</v>
      </c>
      <c r="F61" s="48" t="e">
        <f t="shared" si="5"/>
        <v>#VALUE!</v>
      </c>
    </row>
    <row r="62" ht="15" customHeight="1">
      <c r="A62" s="49" t="e">
        <f t="shared" si="0"/>
        <v>#VALUE!</v>
      </c>
      <c r="B62" s="50" t="e">
        <f t="shared" si="1"/>
        <v>#VALUE!</v>
      </c>
      <c r="C62" s="51" t="e">
        <f t="shared" si="2"/>
        <v>#VALUE!</v>
      </c>
      <c r="D62" s="51" t="e">
        <f t="shared" si="3"/>
        <v>#VALUE!</v>
      </c>
      <c r="E62" s="51" t="e">
        <f t="shared" si="4"/>
        <v>#VALUE!</v>
      </c>
      <c r="F62" s="51" t="e">
        <f t="shared" si="5"/>
        <v>#VALUE!</v>
      </c>
    </row>
    <row r="63" ht="15" customHeight="1">
      <c r="A63" s="46" t="e">
        <f t="shared" si="0"/>
        <v>#VALUE!</v>
      </c>
      <c r="B63" s="47" t="e">
        <f t="shared" si="1"/>
        <v>#VALUE!</v>
      </c>
      <c r="C63" s="48" t="e">
        <f t="shared" si="2"/>
        <v>#VALUE!</v>
      </c>
      <c r="D63" s="48" t="e">
        <f t="shared" si="3"/>
        <v>#VALUE!</v>
      </c>
      <c r="E63" s="48" t="e">
        <f t="shared" si="4"/>
        <v>#VALUE!</v>
      </c>
      <c r="F63" s="48" t="e">
        <f t="shared" si="5"/>
        <v>#VALUE!</v>
      </c>
    </row>
    <row r="64" ht="15" customHeight="1">
      <c r="A64" s="49" t="e">
        <f t="shared" si="0"/>
        <v>#VALUE!</v>
      </c>
      <c r="B64" s="50" t="e">
        <f t="shared" si="1"/>
        <v>#VALUE!</v>
      </c>
      <c r="C64" s="51" t="e">
        <f t="shared" si="2"/>
        <v>#VALUE!</v>
      </c>
      <c r="D64" s="51" t="e">
        <f t="shared" si="3"/>
        <v>#VALUE!</v>
      </c>
      <c r="E64" s="51" t="e">
        <f t="shared" si="4"/>
        <v>#VALUE!</v>
      </c>
      <c r="F64" s="51" t="e">
        <f t="shared" si="5"/>
        <v>#VALUE!</v>
      </c>
    </row>
    <row r="65" ht="15" customHeight="1">
      <c r="A65" s="46" t="e">
        <f t="shared" si="0"/>
        <v>#VALUE!</v>
      </c>
      <c r="B65" s="47" t="e">
        <f t="shared" si="1"/>
        <v>#VALUE!</v>
      </c>
      <c r="C65" s="48" t="e">
        <f t="shared" si="2"/>
        <v>#VALUE!</v>
      </c>
      <c r="D65" s="48" t="e">
        <f t="shared" si="3"/>
        <v>#VALUE!</v>
      </c>
      <c r="E65" s="48" t="e">
        <f t="shared" si="4"/>
        <v>#VALUE!</v>
      </c>
      <c r="F65" s="48" t="e">
        <f t="shared" si="5"/>
        <v>#VALUE!</v>
      </c>
    </row>
    <row r="66" ht="15" customHeight="1">
      <c r="A66" s="49" t="e">
        <f t="shared" si="0"/>
        <v>#VALUE!</v>
      </c>
      <c r="B66" s="50" t="e">
        <f t="shared" si="1"/>
        <v>#VALUE!</v>
      </c>
      <c r="C66" s="51" t="e">
        <f t="shared" si="2"/>
        <v>#VALUE!</v>
      </c>
      <c r="D66" s="51" t="e">
        <f t="shared" si="3"/>
        <v>#VALUE!</v>
      </c>
      <c r="E66" s="51" t="e">
        <f t="shared" si="4"/>
        <v>#VALUE!</v>
      </c>
      <c r="F66" s="51" t="e">
        <f t="shared" si="5"/>
        <v>#VALUE!</v>
      </c>
    </row>
    <row r="67" ht="15" customHeight="1">
      <c r="A67" s="46" t="e">
        <f t="shared" si="0"/>
        <v>#VALUE!</v>
      </c>
      <c r="B67" s="47" t="e">
        <f t="shared" si="1"/>
        <v>#VALUE!</v>
      </c>
      <c r="C67" s="48" t="e">
        <f t="shared" si="2"/>
        <v>#VALUE!</v>
      </c>
      <c r="D67" s="48" t="e">
        <f t="shared" si="3"/>
        <v>#VALUE!</v>
      </c>
      <c r="E67" s="48" t="e">
        <f t="shared" si="4"/>
        <v>#VALUE!</v>
      </c>
      <c r="F67" s="48" t="e">
        <f t="shared" si="5"/>
        <v>#VALUE!</v>
      </c>
    </row>
    <row r="68" ht="15" customHeight="1">
      <c r="A68" s="49" t="e">
        <f t="shared" si="0"/>
        <v>#VALUE!</v>
      </c>
      <c r="B68" s="50" t="e">
        <f t="shared" si="1"/>
        <v>#VALUE!</v>
      </c>
      <c r="C68" s="51" t="e">
        <f t="shared" si="2"/>
        <v>#VALUE!</v>
      </c>
      <c r="D68" s="51" t="e">
        <f t="shared" si="3"/>
        <v>#VALUE!</v>
      </c>
      <c r="E68" s="51" t="e">
        <f t="shared" si="4"/>
        <v>#VALUE!</v>
      </c>
      <c r="F68" s="51" t="e">
        <f t="shared" si="5"/>
        <v>#VALUE!</v>
      </c>
    </row>
    <row r="69" ht="15" customHeight="1">
      <c r="A69" s="46" t="e">
        <f t="shared" si="0"/>
        <v>#VALUE!</v>
      </c>
      <c r="B69" s="47" t="e">
        <f t="shared" si="1"/>
        <v>#VALUE!</v>
      </c>
      <c r="C69" s="48" t="e">
        <f t="shared" si="2"/>
        <v>#VALUE!</v>
      </c>
      <c r="D69" s="48" t="e">
        <f t="shared" si="3"/>
        <v>#VALUE!</v>
      </c>
      <c r="E69" s="48" t="e">
        <f t="shared" si="4"/>
        <v>#VALUE!</v>
      </c>
      <c r="F69" s="48" t="e">
        <f t="shared" si="5"/>
        <v>#VALUE!</v>
      </c>
    </row>
    <row r="70" ht="15" customHeight="1">
      <c r="A70" s="49" t="e">
        <f t="shared" si="0"/>
        <v>#VALUE!</v>
      </c>
      <c r="B70" s="50" t="e">
        <f t="shared" si="1"/>
        <v>#VALUE!</v>
      </c>
      <c r="C70" s="51" t="e">
        <f t="shared" si="2"/>
        <v>#VALUE!</v>
      </c>
      <c r="D70" s="51" t="e">
        <f t="shared" si="3"/>
        <v>#VALUE!</v>
      </c>
      <c r="E70" s="51" t="e">
        <f t="shared" si="4"/>
        <v>#VALUE!</v>
      </c>
      <c r="F70" s="51" t="e">
        <f t="shared" si="5"/>
        <v>#VALUE!</v>
      </c>
    </row>
    <row r="71" ht="15" customHeight="1">
      <c r="A71" s="46" t="e">
        <f t="shared" si="0"/>
        <v>#VALUE!</v>
      </c>
      <c r="B71" s="47" t="e">
        <f t="shared" si="1"/>
        <v>#VALUE!</v>
      </c>
      <c r="C71" s="48" t="e">
        <f t="shared" si="2"/>
        <v>#VALUE!</v>
      </c>
      <c r="D71" s="48" t="e">
        <f t="shared" si="3"/>
        <v>#VALUE!</v>
      </c>
      <c r="E71" s="48" t="e">
        <f t="shared" si="4"/>
        <v>#VALUE!</v>
      </c>
      <c r="F71" s="48" t="e">
        <f t="shared" si="5"/>
        <v>#VALUE!</v>
      </c>
    </row>
    <row r="72" ht="15" customHeight="1">
      <c r="A72" s="49" t="e">
        <f t="shared" si="0"/>
        <v>#VALUE!</v>
      </c>
      <c r="B72" s="50" t="e">
        <f t="shared" si="1"/>
        <v>#VALUE!</v>
      </c>
      <c r="C72" s="51" t="e">
        <f t="shared" si="2"/>
        <v>#VALUE!</v>
      </c>
      <c r="D72" s="51" t="e">
        <f t="shared" si="3"/>
        <v>#VALUE!</v>
      </c>
      <c r="E72" s="51" t="e">
        <f t="shared" si="4"/>
        <v>#VALUE!</v>
      </c>
      <c r="F72" s="51" t="e">
        <f t="shared" si="5"/>
        <v>#VALUE!</v>
      </c>
    </row>
    <row r="73" ht="15" customHeight="1">
      <c r="A73" s="46" t="e">
        <f t="shared" si="0"/>
        <v>#VALUE!</v>
      </c>
      <c r="B73" s="47" t="e">
        <f t="shared" si="1"/>
        <v>#VALUE!</v>
      </c>
      <c r="C73" s="48" t="e">
        <f t="shared" si="2"/>
        <v>#VALUE!</v>
      </c>
      <c r="D73" s="48" t="e">
        <f t="shared" si="3"/>
        <v>#VALUE!</v>
      </c>
      <c r="E73" s="48" t="e">
        <f t="shared" si="4"/>
        <v>#VALUE!</v>
      </c>
      <c r="F73" s="48" t="e">
        <f t="shared" si="5"/>
        <v>#VALUE!</v>
      </c>
    </row>
    <row r="74" ht="15" customHeight="1">
      <c r="A74" s="49" t="e">
        <f t="shared" si="0"/>
        <v>#VALUE!</v>
      </c>
      <c r="B74" s="50" t="e">
        <f t="shared" si="1"/>
        <v>#VALUE!</v>
      </c>
      <c r="C74" s="51" t="e">
        <f t="shared" si="2"/>
        <v>#VALUE!</v>
      </c>
      <c r="D74" s="51" t="e">
        <f t="shared" si="3"/>
        <v>#VALUE!</v>
      </c>
      <c r="E74" s="51" t="e">
        <f t="shared" si="4"/>
        <v>#VALUE!</v>
      </c>
      <c r="F74" s="51" t="e">
        <f t="shared" si="5"/>
        <v>#VALUE!</v>
      </c>
    </row>
    <row r="75" ht="15" customHeight="1">
      <c r="A75" s="46" t="e">
        <f t="shared" si="0"/>
        <v>#VALUE!</v>
      </c>
      <c r="B75" s="47" t="e">
        <f t="shared" si="1"/>
        <v>#VALUE!</v>
      </c>
      <c r="C75" s="48" t="e">
        <f t="shared" si="2"/>
        <v>#VALUE!</v>
      </c>
      <c r="D75" s="48" t="e">
        <f t="shared" si="3"/>
        <v>#VALUE!</v>
      </c>
      <c r="E75" s="48" t="e">
        <f t="shared" si="4"/>
        <v>#VALUE!</v>
      </c>
      <c r="F75" s="48" t="e">
        <f t="shared" si="5"/>
        <v>#VALUE!</v>
      </c>
    </row>
    <row r="76" ht="15" customHeight="1">
      <c r="A76" s="49" t="e">
        <f t="shared" si="0"/>
        <v>#VALUE!</v>
      </c>
      <c r="B76" s="50" t="e">
        <f t="shared" si="1"/>
        <v>#VALUE!</v>
      </c>
      <c r="C76" s="51" t="e">
        <f t="shared" si="2"/>
        <v>#VALUE!</v>
      </c>
      <c r="D76" s="51" t="e">
        <f t="shared" si="3"/>
        <v>#VALUE!</v>
      </c>
      <c r="E76" s="51" t="e">
        <f t="shared" si="4"/>
        <v>#VALUE!</v>
      </c>
      <c r="F76" s="51" t="e">
        <f t="shared" si="5"/>
        <v>#VALUE!</v>
      </c>
    </row>
    <row r="77" ht="15" customHeight="1">
      <c r="A77" s="46" t="e">
        <f t="shared" si="0"/>
        <v>#VALUE!</v>
      </c>
      <c r="B77" s="47" t="e">
        <f t="shared" si="1"/>
        <v>#VALUE!</v>
      </c>
      <c r="C77" s="48" t="e">
        <f t="shared" si="2"/>
        <v>#VALUE!</v>
      </c>
      <c r="D77" s="48" t="e">
        <f t="shared" si="3"/>
        <v>#VALUE!</v>
      </c>
      <c r="E77" s="48" t="e">
        <f t="shared" si="4"/>
        <v>#VALUE!</v>
      </c>
      <c r="F77" s="48" t="e">
        <f t="shared" si="5"/>
        <v>#VALUE!</v>
      </c>
    </row>
    <row r="78" ht="15" customHeight="1">
      <c r="A78" s="49" t="e">
        <f t="shared" si="0"/>
        <v>#VALUE!</v>
      </c>
      <c r="B78" s="50" t="e">
        <f t="shared" si="1"/>
        <v>#VALUE!</v>
      </c>
      <c r="C78" s="51" t="e">
        <f t="shared" si="2"/>
        <v>#VALUE!</v>
      </c>
      <c r="D78" s="51" t="e">
        <f t="shared" si="3"/>
        <v>#VALUE!</v>
      </c>
      <c r="E78" s="51" t="e">
        <f t="shared" si="4"/>
        <v>#VALUE!</v>
      </c>
      <c r="F78" s="51" t="e">
        <f t="shared" si="5"/>
        <v>#VALUE!</v>
      </c>
    </row>
    <row r="81" ht="15" customHeight="1">
      <c r="A81" s="52" t="s">
        <v>116</v>
      </c>
    </row>
    <row r="82" ht="15" customHeight="1">
      <c r="A82" s="53" t="s">
        <v>117</v>
      </c>
    </row>
    <row r="83" ht="15" customHeight="1">
      <c r="A83" s="53" t="s">
        <v>118</v>
      </c>
    </row>
    <row r="84" ht="15" customHeight="1">
      <c r="A84" s="53" t="s">
        <v>119</v>
      </c>
    </row>
    <row r="85" ht="15" customHeight="1">
      <c r="A85" s="53" t="s">
        <v>120</v>
      </c>
    </row>
  </sheetData>
  <mergeCells>
    <mergeCell ref="A1:E1"/>
    <mergeCell ref="A3:E3"/>
    <mergeCell ref="A5:B5"/>
    <mergeCell ref="D7:E7"/>
    <mergeCell ref="A17:F17"/>
    <mergeCell ref="A82:F82"/>
    <mergeCell ref="A83:F83"/>
    <mergeCell ref="A84:F84"/>
    <mergeCell ref="A85:F85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906932AD-CC48-B368-C114-C653DCEEADF7}" mc:Ignorable="x14ac xr xr2 xr3">
  <dimension ref="A1:GR1000"/>
  <sheetViews>
    <sheetView topLeftCell="A1" workbookViewId="0">
      <pane ySplit="5" topLeftCell="A123" activePane="bottomLeft" state="frozen"/>
      <selection pane="bottomLeft" activeCell="A135" sqref="A135"/>
    </sheetView>
  </sheetViews>
  <sheetFormatPr defaultRowHeight="15" defaultColWidth="8.8515625" customHeight="1"/>
  <cols>
    <col min="1" max="1" width="15.00390625" customWidth="1"/>
    <col min="2" max="2" width="25.00390625" customWidth="1"/>
    <col min="3" max="3" width="18.00390625" customWidth="1"/>
    <col min="4" max="4" width="16.00390625" customWidth="1"/>
    <col min="5" max="5" width="18.00390625" customWidth="1"/>
    <col min="6" max="6" width="12.00390625" customWidth="1"/>
  </cols>
  <sheetData>
    <row r="1" ht="21" customHeight="1">
      <c r="A1" s="35" t="s">
        <v>121</v>
      </c>
    </row>
    <row r="3" ht="15" customHeight="1">
      <c r="A3" s="54" t="s">
        <v>122</v>
      </c>
    </row>
    <row r="5" ht="15.75" customHeight="1">
      <c r="A5" s="55" t="s">
        <v>123</v>
      </c>
      <c r="B5" s="55" t="s">
        <v>7</v>
      </c>
      <c r="C5" s="55" t="s">
        <v>124</v>
      </c>
      <c r="D5" s="55" t="s">
        <v>125</v>
      </c>
      <c r="E5" s="55" t="s">
        <v>126</v>
      </c>
      <c r="F5" s="55" t="s">
        <v>127</v>
      </c>
    </row>
    <row r="6" ht="15" customHeight="1">
      <c r="A6" s="27">
        <f>IF(Settings!A13="","",DATE(YEAR(TODAY()),MONTH(TODAY()),Settings!$G13))</f>
        <v>46006</v>
      </c>
      <c r="B6" s="29" t="str">
        <f>IF(Settings!A13="","",Settings!B13)</f>
        <v>Chase Sapphire Reserve</v>
      </c>
      <c r="C6" s="56">
        <f>IF(Settings!A13="","",SUMIF(Payments!$C:$C,Settings!$A13,Payments!$J:$J))</f>
        <v>16953.95</v>
      </c>
      <c r="D6" s="56">
        <f>IF(C6="","",MAX(25,C6*Settings!$H13/100))</f>
        <v>423.84875</v>
      </c>
      <c r="E6" s="56">
        <f t="shared" si="1" ref="E6:E125">IF(D6="","",D6*1.5)</f>
        <v>635.773125</v>
      </c>
      <c r="F6" s="26"/>
    </row>
    <row r="7" ht="15" customHeight="1">
      <c r="A7" s="32">
        <f>IF(Settings!A13="","",EDATE(A6,1))</f>
        <v>46037</v>
      </c>
      <c r="B7" s="11" t="str">
        <f t="shared" si="0" ref="B7:C125">B6</f>
        <v>Chase Sapphire Reserve</v>
      </c>
      <c r="C7" s="12">
        <f t="shared" si="0"/>
        <v>16953.95</v>
      </c>
      <c r="D7" s="12">
        <f>IF(C7="","",MAX(25,C7*Settings!$H13/100))</f>
        <v>423.84875</v>
      </c>
      <c r="E7" s="12">
        <f t="shared" si="1"/>
        <v>635.773125</v>
      </c>
      <c r="F7" s="31"/>
    </row>
    <row r="8" ht="15" customHeight="1">
      <c r="A8" s="27">
        <f>IF(Settings!A13="","",EDATE(A7,1))</f>
        <v>46068</v>
      </c>
      <c r="B8" s="29" t="str">
        <f t="shared" si="0"/>
        <v>Chase Sapphire Reserve</v>
      </c>
      <c r="C8" s="56">
        <f t="shared" si="0"/>
        <v>16953.95</v>
      </c>
      <c r="D8" s="56">
        <f>IF(C8="","",MAX(25,C8*Settings!$H13/100))</f>
        <v>423.84875</v>
      </c>
      <c r="E8" s="56">
        <f t="shared" si="1"/>
        <v>635.773125</v>
      </c>
      <c r="F8" s="26"/>
    </row>
    <row r="9" ht="15" customHeight="1">
      <c r="A9" s="32">
        <f>IF(Settings!A13="","",EDATE(A8,1))</f>
        <v>46096</v>
      </c>
      <c r="B9" s="11" t="str">
        <f t="shared" si="0"/>
        <v>Chase Sapphire Reserve</v>
      </c>
      <c r="C9" s="12">
        <f t="shared" si="0"/>
        <v>16953.95</v>
      </c>
      <c r="D9" s="12">
        <f>IF(C9="","",MAX(25,C9*Settings!$H13/100))</f>
        <v>423.84875</v>
      </c>
      <c r="E9" s="12">
        <f t="shared" si="1"/>
        <v>635.773125</v>
      </c>
      <c r="F9" s="31"/>
    </row>
    <row r="10" ht="15" customHeight="1">
      <c r="A10" s="27">
        <f>IF(Settings!A13="","",EDATE(A9,1))</f>
        <v>46127</v>
      </c>
      <c r="B10" s="29" t="str">
        <f t="shared" si="0"/>
        <v>Chase Sapphire Reserve</v>
      </c>
      <c r="C10" s="56">
        <f t="shared" si="0"/>
        <v>16953.95</v>
      </c>
      <c r="D10" s="56">
        <f>IF(C10="","",MAX(25,C10*Settings!$H13/100))</f>
        <v>423.84875</v>
      </c>
      <c r="E10" s="56">
        <f t="shared" si="1"/>
        <v>635.773125</v>
      </c>
      <c r="F10" s="26"/>
    </row>
    <row r="11" ht="15" customHeight="1">
      <c r="A11" s="32">
        <f>IF(Settings!A13="","",EDATE(A10,1))</f>
        <v>46157</v>
      </c>
      <c r="B11" s="11" t="str">
        <f t="shared" si="0"/>
        <v>Chase Sapphire Reserve</v>
      </c>
      <c r="C11" s="12">
        <f t="shared" si="0"/>
        <v>16953.95</v>
      </c>
      <c r="D11" s="12">
        <f>IF(C11="","",MAX(25,C11*Settings!$H13/100))</f>
        <v>423.84875</v>
      </c>
      <c r="E11" s="12">
        <f t="shared" si="1"/>
        <v>635.773125</v>
      </c>
      <c r="F11" s="31"/>
    </row>
    <row r="12" ht="15" customHeight="1">
      <c r="A12" s="27">
        <f>IF(Settings!A13="","",EDATE(A11,1))</f>
        <v>46188</v>
      </c>
      <c r="B12" s="29" t="str">
        <f t="shared" si="0"/>
        <v>Chase Sapphire Reserve</v>
      </c>
      <c r="C12" s="56">
        <f t="shared" si="0"/>
        <v>16953.95</v>
      </c>
      <c r="D12" s="56">
        <f>IF(C12="","",MAX(25,C12*Settings!$H13/100))</f>
        <v>423.84875</v>
      </c>
      <c r="E12" s="56">
        <f t="shared" si="1"/>
        <v>635.773125</v>
      </c>
      <c r="F12" s="26"/>
    </row>
    <row r="13" ht="15" customHeight="1">
      <c r="A13" s="32">
        <f>IF(Settings!A13="","",EDATE(A12,1))</f>
        <v>46218</v>
      </c>
      <c r="B13" s="11" t="str">
        <f t="shared" si="0"/>
        <v>Chase Sapphire Reserve</v>
      </c>
      <c r="C13" s="12">
        <f t="shared" si="0"/>
        <v>16953.95</v>
      </c>
      <c r="D13" s="12">
        <f>IF(C13="","",MAX(25,C13*Settings!$H13/100))</f>
        <v>423.84875</v>
      </c>
      <c r="E13" s="12">
        <f t="shared" si="1"/>
        <v>635.773125</v>
      </c>
      <c r="F13" s="31"/>
    </row>
    <row r="14" ht="15" customHeight="1">
      <c r="A14" s="27">
        <f>IF(Settings!A13="","",EDATE(A13,1))</f>
        <v>46249</v>
      </c>
      <c r="B14" s="29" t="str">
        <f t="shared" si="0"/>
        <v>Chase Sapphire Reserve</v>
      </c>
      <c r="C14" s="56">
        <f t="shared" si="0"/>
        <v>16953.95</v>
      </c>
      <c r="D14" s="56">
        <f>IF(C14="","",MAX(25,C14*Settings!$H13/100))</f>
        <v>423.84875</v>
      </c>
      <c r="E14" s="56">
        <f t="shared" si="1"/>
        <v>635.773125</v>
      </c>
      <c r="F14" s="26"/>
    </row>
    <row r="15" ht="15" customHeight="1">
      <c r="A15" s="32">
        <f>IF(Settings!A13="","",EDATE(A14,1))</f>
        <v>46280</v>
      </c>
      <c r="B15" s="11" t="str">
        <f t="shared" si="0"/>
        <v>Chase Sapphire Reserve</v>
      </c>
      <c r="C15" s="12">
        <f t="shared" si="0"/>
        <v>16953.95</v>
      </c>
      <c r="D15" s="12">
        <f>IF(C15="","",MAX(25,C15*Settings!$H13/100))</f>
        <v>423.84875</v>
      </c>
      <c r="E15" s="12">
        <f t="shared" si="1"/>
        <v>635.773125</v>
      </c>
      <c r="F15" s="31"/>
    </row>
    <row r="16" ht="15" customHeight="1">
      <c r="A16" s="27">
        <f>IF(Settings!A13="","",EDATE(A15,1))</f>
        <v>46310</v>
      </c>
      <c r="B16" s="29" t="str">
        <f t="shared" si="0"/>
        <v>Chase Sapphire Reserve</v>
      </c>
      <c r="C16" s="56">
        <f t="shared" si="0"/>
        <v>16953.95</v>
      </c>
      <c r="D16" s="56">
        <f>IF(C16="","",MAX(25,C16*Settings!$H13/100))</f>
        <v>423.84875</v>
      </c>
      <c r="E16" s="56">
        <f t="shared" si="1"/>
        <v>635.773125</v>
      </c>
      <c r="F16" s="26"/>
    </row>
    <row r="17" ht="15" customHeight="1">
      <c r="A17" s="32">
        <f>IF(Settings!A13="","",EDATE(A16,1))</f>
        <v>46341</v>
      </c>
      <c r="B17" s="11" t="str">
        <f t="shared" si="0"/>
        <v>Chase Sapphire Reserve</v>
      </c>
      <c r="C17" s="12">
        <f t="shared" si="0"/>
        <v>16953.95</v>
      </c>
      <c r="D17" s="12">
        <f>IF(C17="","",MAX(25,C17*Settings!$H13/100))</f>
        <v>423.84875</v>
      </c>
      <c r="E17" s="12">
        <f t="shared" si="1"/>
        <v>635.773125</v>
      </c>
      <c r="F17" s="31"/>
    </row>
    <row r="18" ht="15" customHeight="1">
      <c r="A18" s="27">
        <f>IF(Settings!A14="","",DATE(YEAR(TODAY()),MONTH(TODAY()),Settings!$G14))</f>
        <v>46013</v>
      </c>
      <c r="B18" s="29" t="str">
        <f>IF(Settings!A14="","",Settings!B14)</f>
        <v>Capital One Venture</v>
      </c>
      <c r="C18" s="56">
        <f>IF(Settings!A14="","",SUMIF(Payments!$C:$C,Settings!$A14,Payments!$J:$J))</f>
        <v>7517.95</v>
      </c>
      <c r="D18" s="56">
        <f>IF(C18="","",MAX(25,C18*Settings!$H14/100))</f>
        <v>225.5385</v>
      </c>
      <c r="E18" s="56">
        <f t="shared" si="1"/>
        <v>338.30775</v>
      </c>
      <c r="F18" s="26"/>
    </row>
    <row r="19" ht="15" customHeight="1">
      <c r="A19" s="32">
        <f>IF(Settings!A14="","",EDATE(A18,1))</f>
        <v>46044</v>
      </c>
      <c r="B19" s="11" t="str">
        <f t="shared" si="0"/>
        <v>Capital One Venture</v>
      </c>
      <c r="C19" s="12">
        <f t="shared" si="0"/>
        <v>7517.95</v>
      </c>
      <c r="D19" s="12">
        <f>IF(C19="","",MAX(25,C19*Settings!$H14/100))</f>
        <v>225.5385</v>
      </c>
      <c r="E19" s="12">
        <f t="shared" si="1"/>
        <v>338.30775</v>
      </c>
      <c r="F19" s="31"/>
    </row>
    <row r="20" ht="15" customHeight="1">
      <c r="A20" s="27">
        <f>IF(Settings!A14="","",EDATE(A19,1))</f>
        <v>46075</v>
      </c>
      <c r="B20" s="29" t="str">
        <f t="shared" si="0"/>
        <v>Capital One Venture</v>
      </c>
      <c r="C20" s="56">
        <f t="shared" si="0"/>
        <v>7517.95</v>
      </c>
      <c r="D20" s="56">
        <f>IF(C20="","",MAX(25,C20*Settings!$H14/100))</f>
        <v>225.5385</v>
      </c>
      <c r="E20" s="56">
        <f t="shared" si="1"/>
        <v>338.30775</v>
      </c>
      <c r="F20" s="26"/>
    </row>
    <row r="21" ht="15" customHeight="1">
      <c r="A21" s="32">
        <f>IF(Settings!A14="","",EDATE(A20,1))</f>
        <v>46103</v>
      </c>
      <c r="B21" s="11" t="str">
        <f t="shared" si="0"/>
        <v>Capital One Venture</v>
      </c>
      <c r="C21" s="12">
        <f t="shared" si="0"/>
        <v>7517.95</v>
      </c>
      <c r="D21" s="12">
        <f>IF(C21="","",MAX(25,C21*Settings!$H14/100))</f>
        <v>225.5385</v>
      </c>
      <c r="E21" s="12">
        <f t="shared" si="1"/>
        <v>338.30775</v>
      </c>
      <c r="F21" s="31"/>
    </row>
    <row r="22" ht="15" customHeight="1">
      <c r="A22" s="27">
        <f>IF(Settings!A14="","",EDATE(A21,1))</f>
        <v>46134</v>
      </c>
      <c r="B22" s="29" t="str">
        <f t="shared" si="0"/>
        <v>Capital One Venture</v>
      </c>
      <c r="C22" s="56">
        <f t="shared" si="0"/>
        <v>7517.95</v>
      </c>
      <c r="D22" s="56">
        <f>IF(C22="","",MAX(25,C22*Settings!$H14/100))</f>
        <v>225.5385</v>
      </c>
      <c r="E22" s="56">
        <f t="shared" si="1"/>
        <v>338.30775</v>
      </c>
      <c r="F22" s="26"/>
    </row>
    <row r="23" ht="15" customHeight="1">
      <c r="A23" s="32">
        <f>IF(Settings!A14="","",EDATE(A22,1))</f>
        <v>46164</v>
      </c>
      <c r="B23" s="11" t="str">
        <f t="shared" si="0"/>
        <v>Capital One Venture</v>
      </c>
      <c r="C23" s="12">
        <f t="shared" si="0"/>
        <v>7517.95</v>
      </c>
      <c r="D23" s="12">
        <f>IF(C23="","",MAX(25,C23*Settings!$H14/100))</f>
        <v>225.5385</v>
      </c>
      <c r="E23" s="12">
        <f t="shared" si="1"/>
        <v>338.30775</v>
      </c>
      <c r="F23" s="31"/>
    </row>
    <row r="24" ht="15" customHeight="1">
      <c r="A24" s="27">
        <f>IF(Settings!A14="","",EDATE(A23,1))</f>
        <v>46195</v>
      </c>
      <c r="B24" s="29" t="str">
        <f t="shared" si="0"/>
        <v>Capital One Venture</v>
      </c>
      <c r="C24" s="56">
        <f t="shared" si="0"/>
        <v>7517.95</v>
      </c>
      <c r="D24" s="56">
        <f>IF(C24="","",MAX(25,C24*Settings!$H14/100))</f>
        <v>225.5385</v>
      </c>
      <c r="E24" s="56">
        <f t="shared" si="1"/>
        <v>338.30775</v>
      </c>
      <c r="F24" s="26"/>
    </row>
    <row r="25" ht="15" customHeight="1">
      <c r="A25" s="32">
        <f>IF(Settings!A14="","",EDATE(A24,1))</f>
        <v>46225</v>
      </c>
      <c r="B25" s="11" t="str">
        <f t="shared" si="0"/>
        <v>Capital One Venture</v>
      </c>
      <c r="C25" s="12">
        <f t="shared" si="0"/>
        <v>7517.95</v>
      </c>
      <c r="D25" s="12">
        <f>IF(C25="","",MAX(25,C25*Settings!$H14/100))</f>
        <v>225.5385</v>
      </c>
      <c r="E25" s="12">
        <f t="shared" si="1"/>
        <v>338.30775</v>
      </c>
      <c r="F25" s="31"/>
    </row>
    <row r="26" ht="15" customHeight="1">
      <c r="A26" s="27">
        <f>IF(Settings!A14="","",EDATE(A25,1))</f>
        <v>46256</v>
      </c>
      <c r="B26" s="29" t="str">
        <f t="shared" si="0"/>
        <v>Capital One Venture</v>
      </c>
      <c r="C26" s="56">
        <f t="shared" si="0"/>
        <v>7517.95</v>
      </c>
      <c r="D26" s="56">
        <f>IF(C26="","",MAX(25,C26*Settings!$H14/100))</f>
        <v>225.5385</v>
      </c>
      <c r="E26" s="56">
        <f t="shared" si="1"/>
        <v>338.30775</v>
      </c>
      <c r="F26" s="26"/>
    </row>
    <row r="27" ht="15" customHeight="1">
      <c r="A27" s="32">
        <f>IF(Settings!A14="","",EDATE(A26,1))</f>
        <v>46287</v>
      </c>
      <c r="B27" s="11" t="str">
        <f t="shared" si="0"/>
        <v>Capital One Venture</v>
      </c>
      <c r="C27" s="12">
        <f t="shared" si="0"/>
        <v>7517.95</v>
      </c>
      <c r="D27" s="12">
        <f>IF(C27="","",MAX(25,C27*Settings!$H14/100))</f>
        <v>225.5385</v>
      </c>
      <c r="E27" s="12">
        <f t="shared" si="1"/>
        <v>338.30775</v>
      </c>
      <c r="F27" s="31"/>
    </row>
    <row r="28" ht="15" customHeight="1">
      <c r="A28" s="27">
        <f>IF(Settings!A14="","",EDATE(A27,1))</f>
        <v>46317</v>
      </c>
      <c r="B28" s="29" t="str">
        <f t="shared" si="0"/>
        <v>Capital One Venture</v>
      </c>
      <c r="C28" s="56">
        <f t="shared" si="0"/>
        <v>7517.95</v>
      </c>
      <c r="D28" s="56">
        <f>IF(C28="","",MAX(25,C28*Settings!$H14/100))</f>
        <v>225.5385</v>
      </c>
      <c r="E28" s="56">
        <f t="shared" si="1"/>
        <v>338.30775</v>
      </c>
      <c r="F28" s="26"/>
    </row>
    <row r="29" ht="15" customHeight="1">
      <c r="A29" s="32">
        <f>IF(Settings!A14="","",EDATE(A28,1))</f>
        <v>46348</v>
      </c>
      <c r="B29" s="11" t="str">
        <f t="shared" si="0"/>
        <v>Capital One Venture</v>
      </c>
      <c r="C29" s="12">
        <f t="shared" si="0"/>
        <v>7517.95</v>
      </c>
      <c r="D29" s="12">
        <f>IF(C29="","",MAX(25,C29*Settings!$H14/100))</f>
        <v>225.5385</v>
      </c>
      <c r="E29" s="12">
        <f t="shared" si="1"/>
        <v>338.30775</v>
      </c>
      <c r="F29" s="31"/>
    </row>
    <row r="30" ht="15" customHeight="1">
      <c r="A30" s="27">
        <f>IF(Settings!A15="","",DATE(YEAR(TODAY()),MONTH(TODAY()),Settings!$G15))</f>
        <v>45999</v>
      </c>
      <c r="B30" s="29" t="str">
        <f>IF(Settings!A15="","",Settings!B15)</f>
        <v>Citi Double Cash</v>
      </c>
      <c r="C30" s="56">
        <f>IF(Settings!A15="","",SUMIF(Payments!$C:$C,Settings!$A15,Payments!$J:$J))</f>
        <v>2961</v>
      </c>
      <c r="D30" s="56">
        <f>IF(C30="","",MAX(25,C30*Settings!$H15/100))</f>
        <v>740.25</v>
      </c>
      <c r="E30" s="56">
        <f t="shared" si="1"/>
        <v>1110.375</v>
      </c>
      <c r="F30" s="26"/>
    </row>
    <row r="31" ht="15" customHeight="1">
      <c r="A31" s="32">
        <f>IF(Settings!A15="","",EDATE(A30,1))</f>
        <v>46030</v>
      </c>
      <c r="B31" s="11" t="str">
        <f t="shared" si="0"/>
        <v>Citi Double Cash</v>
      </c>
      <c r="C31" s="12">
        <f t="shared" si="0"/>
        <v>2961</v>
      </c>
      <c r="D31" s="12">
        <f>IF(C31="","",MAX(25,C31*Settings!$H15/100))</f>
        <v>740.25</v>
      </c>
      <c r="E31" s="12">
        <f t="shared" si="1"/>
        <v>1110.375</v>
      </c>
      <c r="F31" s="31"/>
    </row>
    <row r="32" ht="15" customHeight="1">
      <c r="A32" s="27">
        <f>IF(Settings!A15="","",EDATE(A31,1))</f>
        <v>46061</v>
      </c>
      <c r="B32" s="29" t="str">
        <f t="shared" si="0"/>
        <v>Citi Double Cash</v>
      </c>
      <c r="C32" s="56">
        <f t="shared" si="0"/>
        <v>2961</v>
      </c>
      <c r="D32" s="56">
        <f>IF(C32="","",MAX(25,C32*Settings!$H15/100))</f>
        <v>740.25</v>
      </c>
      <c r="E32" s="56">
        <f t="shared" si="1"/>
        <v>1110.375</v>
      </c>
      <c r="F32" s="26"/>
    </row>
    <row r="33" ht="15" customHeight="1">
      <c r="A33" s="32">
        <f>IF(Settings!A15="","",EDATE(A32,1))</f>
        <v>46089</v>
      </c>
      <c r="B33" s="11" t="str">
        <f t="shared" si="0"/>
        <v>Citi Double Cash</v>
      </c>
      <c r="C33" s="12">
        <f t="shared" si="0"/>
        <v>2961</v>
      </c>
      <c r="D33" s="12">
        <f>IF(C33="","",MAX(25,C33*Settings!$H15/100))</f>
        <v>740.25</v>
      </c>
      <c r="E33" s="12">
        <f t="shared" si="1"/>
        <v>1110.375</v>
      </c>
      <c r="F33" s="31"/>
    </row>
    <row r="34" ht="15" customHeight="1">
      <c r="A34" s="27">
        <f>IF(Settings!A15="","",EDATE(A33,1))</f>
        <v>46120</v>
      </c>
      <c r="B34" s="29" t="str">
        <f t="shared" si="0"/>
        <v>Citi Double Cash</v>
      </c>
      <c r="C34" s="56">
        <f t="shared" si="0"/>
        <v>2961</v>
      </c>
      <c r="D34" s="56">
        <f>IF(C34="","",MAX(25,C34*Settings!$H15/100))</f>
        <v>740.25</v>
      </c>
      <c r="E34" s="56">
        <f t="shared" si="1"/>
        <v>1110.375</v>
      </c>
      <c r="F34" s="26"/>
    </row>
    <row r="35" ht="15" customHeight="1">
      <c r="A35" s="32">
        <f>IF(Settings!A15="","",EDATE(A34,1))</f>
        <v>46150</v>
      </c>
      <c r="B35" s="11" t="str">
        <f t="shared" si="0"/>
        <v>Citi Double Cash</v>
      </c>
      <c r="C35" s="12">
        <f t="shared" si="0"/>
        <v>2961</v>
      </c>
      <c r="D35" s="12">
        <f>IF(C35="","",MAX(25,C35*Settings!$H15/100))</f>
        <v>740.25</v>
      </c>
      <c r="E35" s="12">
        <f t="shared" si="1"/>
        <v>1110.375</v>
      </c>
      <c r="F35" s="31"/>
    </row>
    <row r="36" ht="15" customHeight="1">
      <c r="A36" s="27">
        <f>IF(Settings!A15="","",EDATE(A35,1))</f>
        <v>46181</v>
      </c>
      <c r="B36" s="29" t="str">
        <f t="shared" si="0"/>
        <v>Citi Double Cash</v>
      </c>
      <c r="C36" s="56">
        <f t="shared" si="0"/>
        <v>2961</v>
      </c>
      <c r="D36" s="56">
        <f>IF(C36="","",MAX(25,C36*Settings!$H15/100))</f>
        <v>740.25</v>
      </c>
      <c r="E36" s="56">
        <f t="shared" si="1"/>
        <v>1110.375</v>
      </c>
      <c r="F36" s="26"/>
    </row>
    <row r="37" ht="15" customHeight="1">
      <c r="A37" s="32">
        <f>IF(Settings!A15="","",EDATE(A36,1))</f>
        <v>46211</v>
      </c>
      <c r="B37" s="11" t="str">
        <f t="shared" si="0"/>
        <v>Citi Double Cash</v>
      </c>
      <c r="C37" s="12">
        <f t="shared" si="0"/>
        <v>2961</v>
      </c>
      <c r="D37" s="12">
        <f>IF(C37="","",MAX(25,C37*Settings!$H15/100))</f>
        <v>740.25</v>
      </c>
      <c r="E37" s="12">
        <f t="shared" si="1"/>
        <v>1110.375</v>
      </c>
      <c r="F37" s="31"/>
    </row>
    <row r="38" ht="15" customHeight="1">
      <c r="A38" s="27">
        <f>IF(Settings!A15="","",EDATE(A37,1))</f>
        <v>46242</v>
      </c>
      <c r="B38" s="29" t="str">
        <f t="shared" si="0"/>
        <v>Citi Double Cash</v>
      </c>
      <c r="C38" s="56">
        <f t="shared" si="0"/>
        <v>2961</v>
      </c>
      <c r="D38" s="56">
        <f>IF(C38="","",MAX(25,C38*Settings!$H15/100))</f>
        <v>740.25</v>
      </c>
      <c r="E38" s="56">
        <f t="shared" si="1"/>
        <v>1110.375</v>
      </c>
      <c r="F38" s="26"/>
    </row>
    <row r="39" ht="15" customHeight="1">
      <c r="A39" s="32">
        <f>IF(Settings!A15="","",EDATE(A38,1))</f>
        <v>46273</v>
      </c>
      <c r="B39" s="11" t="str">
        <f t="shared" si="0"/>
        <v>Citi Double Cash</v>
      </c>
      <c r="C39" s="12">
        <f t="shared" si="0"/>
        <v>2961</v>
      </c>
      <c r="D39" s="12">
        <f>IF(C39="","",MAX(25,C39*Settings!$H15/100))</f>
        <v>740.25</v>
      </c>
      <c r="E39" s="12">
        <f t="shared" si="1"/>
        <v>1110.375</v>
      </c>
      <c r="F39" s="31"/>
    </row>
    <row r="40" ht="15" customHeight="1">
      <c r="A40" s="27">
        <f>IF(Settings!A15="","",EDATE(A39,1))</f>
        <v>46303</v>
      </c>
      <c r="B40" s="29" t="str">
        <f t="shared" si="0"/>
        <v>Citi Double Cash</v>
      </c>
      <c r="C40" s="56">
        <f t="shared" si="0"/>
        <v>2961</v>
      </c>
      <c r="D40" s="56">
        <f>IF(C40="","",MAX(25,C40*Settings!$H15/100))</f>
        <v>740.25</v>
      </c>
      <c r="E40" s="56">
        <f t="shared" si="1"/>
        <v>1110.375</v>
      </c>
      <c r="F40" s="26"/>
    </row>
    <row r="41" ht="15" customHeight="1">
      <c r="A41" s="32">
        <f>IF(Settings!A15="","",EDATE(A40,1))</f>
        <v>46334</v>
      </c>
      <c r="B41" s="11" t="str">
        <f t="shared" si="0"/>
        <v>Citi Double Cash</v>
      </c>
      <c r="C41" s="12">
        <f t="shared" si="0"/>
        <v>2961</v>
      </c>
      <c r="D41" s="12">
        <f>IF(C41="","",MAX(25,C41*Settings!$H15/100))</f>
        <v>740.25</v>
      </c>
      <c r="E41" s="12">
        <f t="shared" si="1"/>
        <v>1110.375</v>
      </c>
      <c r="F41" s="31"/>
    </row>
    <row r="42" ht="15" customHeight="1">
      <c r="A42" s="27" t="str">
        <f>IF(Settings!A16="","",DATE(YEAR(TODAY()),MONTH(TODAY()),Settings!$G16))</f>
        <v/>
      </c>
      <c r="B42" s="29" t="str">
        <f>IF(Settings!A16="","",Settings!B16)</f>
        <v/>
      </c>
      <c r="C42" s="56" t="str">
        <f>IF(Settings!A16="","",SUMIF(Payments!$C:$C,Settings!$A16,Payments!$J:$J))</f>
        <v/>
      </c>
      <c r="D42" s="56" t="str">
        <f>IF(C42="","",MAX(25,C42*Settings!$H16/100))</f>
        <v/>
      </c>
      <c r="E42" s="56" t="str">
        <f t="shared" si="1"/>
        <v/>
      </c>
      <c r="F42" s="26"/>
    </row>
    <row r="43" ht="15" customHeight="1">
      <c r="A43" s="32" t="str">
        <f>IF(Settings!A16="","",EDATE(A42,1))</f>
        <v/>
      </c>
      <c r="B43" s="11" t="str">
        <f t="shared" si="0"/>
        <v/>
      </c>
      <c r="C43" s="12" t="str">
        <f t="shared" si="0"/>
        <v/>
      </c>
      <c r="D43" s="12" t="str">
        <f>IF(C43="","",MAX(25,C43*Settings!$H16/100))</f>
        <v/>
      </c>
      <c r="E43" s="12" t="str">
        <f t="shared" si="1"/>
        <v/>
      </c>
      <c r="F43" s="31"/>
    </row>
    <row r="44" ht="15" customHeight="1">
      <c r="A44" s="27" t="str">
        <f>IF(Settings!A16="","",EDATE(A43,1))</f>
        <v/>
      </c>
      <c r="B44" s="29" t="str">
        <f t="shared" si="0"/>
        <v/>
      </c>
      <c r="C44" s="56" t="str">
        <f t="shared" si="0"/>
        <v/>
      </c>
      <c r="D44" s="56" t="str">
        <f>IF(C44="","",MAX(25,C44*Settings!$H16/100))</f>
        <v/>
      </c>
      <c r="E44" s="56" t="str">
        <f t="shared" si="1"/>
        <v/>
      </c>
      <c r="F44" s="26"/>
    </row>
    <row r="45" ht="15" customHeight="1">
      <c r="A45" s="32" t="str">
        <f>IF(Settings!A16="","",EDATE(A44,1))</f>
        <v/>
      </c>
      <c r="B45" s="11" t="str">
        <f t="shared" si="0"/>
        <v/>
      </c>
      <c r="C45" s="12" t="str">
        <f t="shared" si="0"/>
        <v/>
      </c>
      <c r="D45" s="12" t="str">
        <f>IF(C45="","",MAX(25,C45*Settings!$H16/100))</f>
        <v/>
      </c>
      <c r="E45" s="12" t="str">
        <f t="shared" si="1"/>
        <v/>
      </c>
      <c r="F45" s="31"/>
    </row>
    <row r="46" ht="15" customHeight="1">
      <c r="A46" s="27" t="str">
        <f>IF(Settings!A16="","",EDATE(A45,1))</f>
        <v/>
      </c>
      <c r="B46" s="29" t="str">
        <f t="shared" si="0"/>
        <v/>
      </c>
      <c r="C46" s="56" t="str">
        <f t="shared" si="0"/>
        <v/>
      </c>
      <c r="D46" s="56" t="str">
        <f>IF(C46="","",MAX(25,C46*Settings!$H16/100))</f>
        <v/>
      </c>
      <c r="E46" s="56" t="str">
        <f t="shared" si="1"/>
        <v/>
      </c>
      <c r="F46" s="26"/>
    </row>
    <row r="47" ht="15" customHeight="1">
      <c r="A47" s="32" t="str">
        <f>IF(Settings!A16="","",EDATE(A46,1))</f>
        <v/>
      </c>
      <c r="B47" s="11" t="str">
        <f t="shared" si="0"/>
        <v/>
      </c>
      <c r="C47" s="12" t="str">
        <f t="shared" si="0"/>
        <v/>
      </c>
      <c r="D47" s="12" t="str">
        <f>IF(C47="","",MAX(25,C47*Settings!$H16/100))</f>
        <v/>
      </c>
      <c r="E47" s="12" t="str">
        <f t="shared" si="1"/>
        <v/>
      </c>
      <c r="F47" s="31"/>
    </row>
    <row r="48" ht="15" customHeight="1">
      <c r="A48" s="27" t="str">
        <f>IF(Settings!A16="","",EDATE(A47,1))</f>
        <v/>
      </c>
      <c r="B48" s="29" t="str">
        <f t="shared" si="0"/>
        <v/>
      </c>
      <c r="C48" s="56" t="str">
        <f t="shared" si="0"/>
        <v/>
      </c>
      <c r="D48" s="56" t="str">
        <f>IF(C48="","",MAX(25,C48*Settings!$H16/100))</f>
        <v/>
      </c>
      <c r="E48" s="56" t="str">
        <f t="shared" si="1"/>
        <v/>
      </c>
      <c r="F48" s="26"/>
    </row>
    <row r="49" ht="15" customHeight="1">
      <c r="A49" s="32" t="str">
        <f>IF(Settings!A16="","",EDATE(A48,1))</f>
        <v/>
      </c>
      <c r="B49" s="11" t="str">
        <f t="shared" si="0"/>
        <v/>
      </c>
      <c r="C49" s="12" t="str">
        <f t="shared" si="0"/>
        <v/>
      </c>
      <c r="D49" s="12" t="str">
        <f>IF(C49="","",MAX(25,C49*Settings!$H16/100))</f>
        <v/>
      </c>
      <c r="E49" s="12" t="str">
        <f t="shared" si="1"/>
        <v/>
      </c>
      <c r="F49" s="31"/>
    </row>
    <row r="50" ht="15" customHeight="1">
      <c r="A50" s="27" t="str">
        <f>IF(Settings!A16="","",EDATE(A49,1))</f>
        <v/>
      </c>
      <c r="B50" s="29" t="str">
        <f t="shared" si="0"/>
        <v/>
      </c>
      <c r="C50" s="56" t="str">
        <f t="shared" si="0"/>
        <v/>
      </c>
      <c r="D50" s="56" t="str">
        <f>IF(C50="","",MAX(25,C50*Settings!$H16/100))</f>
        <v/>
      </c>
      <c r="E50" s="56" t="str">
        <f t="shared" si="1"/>
        <v/>
      </c>
      <c r="F50" s="26"/>
    </row>
    <row r="51" ht="15" customHeight="1">
      <c r="A51" s="32" t="str">
        <f>IF(Settings!A16="","",EDATE(A50,1))</f>
        <v/>
      </c>
      <c r="B51" s="11" t="str">
        <f t="shared" si="0"/>
        <v/>
      </c>
      <c r="C51" s="12" t="str">
        <f t="shared" si="0"/>
        <v/>
      </c>
      <c r="D51" s="12" t="str">
        <f>IF(C51="","",MAX(25,C51*Settings!$H16/100))</f>
        <v/>
      </c>
      <c r="E51" s="12" t="str">
        <f t="shared" si="1"/>
        <v/>
      </c>
      <c r="F51" s="31"/>
    </row>
    <row r="52" ht="15" customHeight="1">
      <c r="A52" s="27" t="str">
        <f>IF(Settings!A16="","",EDATE(A51,1))</f>
        <v/>
      </c>
      <c r="B52" s="29" t="str">
        <f t="shared" si="0"/>
        <v/>
      </c>
      <c r="C52" s="56" t="str">
        <f t="shared" si="0"/>
        <v/>
      </c>
      <c r="D52" s="56" t="str">
        <f>IF(C52="","",MAX(25,C52*Settings!$H16/100))</f>
        <v/>
      </c>
      <c r="E52" s="56" t="str">
        <f t="shared" si="1"/>
        <v/>
      </c>
      <c r="F52" s="26"/>
    </row>
    <row r="53" ht="15" customHeight="1">
      <c r="A53" s="32" t="str">
        <f>IF(Settings!A16="","",EDATE(A52,1))</f>
        <v/>
      </c>
      <c r="B53" s="11" t="str">
        <f t="shared" si="0"/>
        <v/>
      </c>
      <c r="C53" s="12" t="str">
        <f t="shared" si="0"/>
        <v/>
      </c>
      <c r="D53" s="12" t="str">
        <f>IF(C53="","",MAX(25,C53*Settings!$H16/100))</f>
        <v/>
      </c>
      <c r="E53" s="12" t="str">
        <f t="shared" si="1"/>
        <v/>
      </c>
      <c r="F53" s="31"/>
    </row>
    <row r="54" ht="15" customHeight="1">
      <c r="A54" s="27" t="str">
        <f>IF(Settings!A17="","",DATE(YEAR(TODAY()),MONTH(TODAY()),Settings!$G17))</f>
        <v/>
      </c>
      <c r="B54" s="29" t="str">
        <f>IF(Settings!A17="","",Settings!B17)</f>
        <v/>
      </c>
      <c r="C54" s="56" t="str">
        <f>IF(Settings!A17="","",SUMIF(Payments!$C:$C,Settings!$A17,Payments!$J:$J))</f>
        <v/>
      </c>
      <c r="D54" s="56" t="str">
        <f>IF(C54="","",MAX(25,C54*Settings!$H17/100))</f>
        <v/>
      </c>
      <c r="E54" s="56" t="str">
        <f t="shared" si="1"/>
        <v/>
      </c>
      <c r="F54" s="26"/>
    </row>
    <row r="55" ht="15" customHeight="1">
      <c r="A55" s="32" t="str">
        <f>IF(Settings!A17="","",EDATE(A54,1))</f>
        <v/>
      </c>
      <c r="B55" s="11" t="str">
        <f t="shared" si="0"/>
        <v/>
      </c>
      <c r="C55" s="12" t="str">
        <f t="shared" si="0"/>
        <v/>
      </c>
      <c r="D55" s="12" t="str">
        <f>IF(C55="","",MAX(25,C55*Settings!$H17/100))</f>
        <v/>
      </c>
      <c r="E55" s="12" t="str">
        <f t="shared" si="1"/>
        <v/>
      </c>
      <c r="F55" s="31"/>
    </row>
    <row r="56" ht="15" customHeight="1">
      <c r="A56" s="27" t="str">
        <f>IF(Settings!A17="","",EDATE(A55,1))</f>
        <v/>
      </c>
      <c r="B56" s="29" t="str">
        <f t="shared" si="0"/>
        <v/>
      </c>
      <c r="C56" s="56" t="str">
        <f t="shared" si="0"/>
        <v/>
      </c>
      <c r="D56" s="56" t="str">
        <f>IF(C56="","",MAX(25,C56*Settings!$H17/100))</f>
        <v/>
      </c>
      <c r="E56" s="56" t="str">
        <f t="shared" si="1"/>
        <v/>
      </c>
      <c r="F56" s="26"/>
    </row>
    <row r="57" ht="15" customHeight="1">
      <c r="A57" s="32" t="str">
        <f>IF(Settings!A17="","",EDATE(A56,1))</f>
        <v/>
      </c>
      <c r="B57" s="11" t="str">
        <f t="shared" si="0"/>
        <v/>
      </c>
      <c r="C57" s="12" t="str">
        <f t="shared" si="0"/>
        <v/>
      </c>
      <c r="D57" s="12" t="str">
        <f>IF(C57="","",MAX(25,C57*Settings!$H17/100))</f>
        <v/>
      </c>
      <c r="E57" s="12" t="str">
        <f t="shared" si="1"/>
        <v/>
      </c>
      <c r="F57" s="31"/>
    </row>
    <row r="58" ht="15" customHeight="1">
      <c r="A58" s="27" t="str">
        <f>IF(Settings!A17="","",EDATE(A57,1))</f>
        <v/>
      </c>
      <c r="B58" s="29" t="str">
        <f t="shared" si="0"/>
        <v/>
      </c>
      <c r="C58" s="56" t="str">
        <f t="shared" si="0"/>
        <v/>
      </c>
      <c r="D58" s="56" t="str">
        <f>IF(C58="","",MAX(25,C58*Settings!$H17/100))</f>
        <v/>
      </c>
      <c r="E58" s="56" t="str">
        <f t="shared" si="1"/>
        <v/>
      </c>
      <c r="F58" s="26"/>
    </row>
    <row r="59" ht="15" customHeight="1">
      <c r="A59" s="32" t="str">
        <f>IF(Settings!A17="","",EDATE(A58,1))</f>
        <v/>
      </c>
      <c r="B59" s="11" t="str">
        <f t="shared" si="0"/>
        <v/>
      </c>
      <c r="C59" s="12" t="str">
        <f t="shared" si="0"/>
        <v/>
      </c>
      <c r="D59" s="12" t="str">
        <f>IF(C59="","",MAX(25,C59*Settings!$H17/100))</f>
        <v/>
      </c>
      <c r="E59" s="12" t="str">
        <f t="shared" si="1"/>
        <v/>
      </c>
      <c r="F59" s="31"/>
    </row>
    <row r="60" ht="15" customHeight="1">
      <c r="A60" s="27" t="str">
        <f>IF(Settings!A17="","",EDATE(A59,1))</f>
        <v/>
      </c>
      <c r="B60" s="29" t="str">
        <f t="shared" si="0"/>
        <v/>
      </c>
      <c r="C60" s="56" t="str">
        <f t="shared" si="0"/>
        <v/>
      </c>
      <c r="D60" s="56" t="str">
        <f>IF(C60="","",MAX(25,C60*Settings!$H17/100))</f>
        <v/>
      </c>
      <c r="E60" s="56" t="str">
        <f t="shared" si="1"/>
        <v/>
      </c>
      <c r="F60" s="26"/>
    </row>
    <row r="61" ht="15" customHeight="1">
      <c r="A61" s="32" t="str">
        <f>IF(Settings!A17="","",EDATE(A60,1))</f>
        <v/>
      </c>
      <c r="B61" s="11" t="str">
        <f t="shared" si="0"/>
        <v/>
      </c>
      <c r="C61" s="12" t="str">
        <f t="shared" si="0"/>
        <v/>
      </c>
      <c r="D61" s="12" t="str">
        <f>IF(C61="","",MAX(25,C61*Settings!$H17/100))</f>
        <v/>
      </c>
      <c r="E61" s="12" t="str">
        <f t="shared" si="1"/>
        <v/>
      </c>
      <c r="F61" s="31"/>
    </row>
    <row r="62" ht="15" customHeight="1">
      <c r="A62" s="27" t="str">
        <f>IF(Settings!A17="","",EDATE(A61,1))</f>
        <v/>
      </c>
      <c r="B62" s="29" t="str">
        <f t="shared" si="0"/>
        <v/>
      </c>
      <c r="C62" s="56" t="str">
        <f t="shared" si="0"/>
        <v/>
      </c>
      <c r="D62" s="56" t="str">
        <f>IF(C62="","",MAX(25,C62*Settings!$H17/100))</f>
        <v/>
      </c>
      <c r="E62" s="56" t="str">
        <f t="shared" si="1"/>
        <v/>
      </c>
      <c r="F62" s="26"/>
    </row>
    <row r="63" ht="15" customHeight="1">
      <c r="A63" s="32" t="str">
        <f>IF(Settings!A17="","",EDATE(A62,1))</f>
        <v/>
      </c>
      <c r="B63" s="11" t="str">
        <f t="shared" si="0"/>
        <v/>
      </c>
      <c r="C63" s="12" t="str">
        <f t="shared" si="0"/>
        <v/>
      </c>
      <c r="D63" s="12" t="str">
        <f>IF(C63="","",MAX(25,C63*Settings!$H17/100))</f>
        <v/>
      </c>
      <c r="E63" s="12" t="str">
        <f t="shared" si="1"/>
        <v/>
      </c>
      <c r="F63" s="31"/>
    </row>
    <row r="64" ht="15" customHeight="1">
      <c r="A64" s="27" t="str">
        <f>IF(Settings!A17="","",EDATE(A63,1))</f>
        <v/>
      </c>
      <c r="B64" s="29" t="str">
        <f t="shared" si="0"/>
        <v/>
      </c>
      <c r="C64" s="56" t="str">
        <f t="shared" si="0"/>
        <v/>
      </c>
      <c r="D64" s="56" t="str">
        <f>IF(C64="","",MAX(25,C64*Settings!$H17/100))</f>
        <v/>
      </c>
      <c r="E64" s="56" t="str">
        <f t="shared" si="1"/>
        <v/>
      </c>
      <c r="F64" s="26"/>
    </row>
    <row r="65" ht="15" customHeight="1">
      <c r="A65" s="32" t="str">
        <f>IF(Settings!A17="","",EDATE(A64,1))</f>
        <v/>
      </c>
      <c r="B65" s="11" t="str">
        <f t="shared" si="0"/>
        <v/>
      </c>
      <c r="C65" s="12" t="str">
        <f t="shared" si="0"/>
        <v/>
      </c>
      <c r="D65" s="12" t="str">
        <f>IF(C65="","",MAX(25,C65*Settings!$H17/100))</f>
        <v/>
      </c>
      <c r="E65" s="12" t="str">
        <f t="shared" si="1"/>
        <v/>
      </c>
      <c r="F65" s="31"/>
    </row>
    <row r="66" ht="15" customHeight="1">
      <c r="A66" s="27" t="str">
        <f>IF(Settings!A18="","",DATE(YEAR(TODAY()),MONTH(TODAY()),Settings!$G18))</f>
        <v/>
      </c>
      <c r="B66" s="29" t="str">
        <f>IF(Settings!A18="","",Settings!B18)</f>
        <v/>
      </c>
      <c r="C66" s="56" t="str">
        <f>IF(Settings!A18="","",SUMIF(Payments!$C:$C,Settings!$A18,Payments!$J:$J))</f>
        <v/>
      </c>
      <c r="D66" s="56" t="str">
        <f>IF(C66="","",MAX(25,C66*Settings!$H18/100))</f>
        <v/>
      </c>
      <c r="E66" s="56" t="str">
        <f t="shared" si="1"/>
        <v/>
      </c>
      <c r="F66" s="26"/>
    </row>
    <row r="67" ht="15" customHeight="1">
      <c r="A67" s="32" t="str">
        <f>IF(Settings!A18="","",EDATE(A66,1))</f>
        <v/>
      </c>
      <c r="B67" s="11" t="str">
        <f t="shared" si="0"/>
        <v/>
      </c>
      <c r="C67" s="12" t="str">
        <f t="shared" si="0"/>
        <v/>
      </c>
      <c r="D67" s="12" t="str">
        <f>IF(C67="","",MAX(25,C67*Settings!$H18/100))</f>
        <v/>
      </c>
      <c r="E67" s="12" t="str">
        <f t="shared" si="1"/>
        <v/>
      </c>
      <c r="F67" s="31"/>
    </row>
    <row r="68" ht="15" customHeight="1">
      <c r="A68" s="27" t="str">
        <f>IF(Settings!A18="","",EDATE(A67,1))</f>
        <v/>
      </c>
      <c r="B68" s="29" t="str">
        <f t="shared" si="0"/>
        <v/>
      </c>
      <c r="C68" s="56" t="str">
        <f t="shared" si="0"/>
        <v/>
      </c>
      <c r="D68" s="56" t="str">
        <f>IF(C68="","",MAX(25,C68*Settings!$H18/100))</f>
        <v/>
      </c>
      <c r="E68" s="56" t="str">
        <f t="shared" si="1"/>
        <v/>
      </c>
      <c r="F68" s="26"/>
    </row>
    <row r="69" ht="15" customHeight="1">
      <c r="A69" s="32" t="str">
        <f>IF(Settings!A18="","",EDATE(A68,1))</f>
        <v/>
      </c>
      <c r="B69" s="11" t="str">
        <f t="shared" si="0"/>
        <v/>
      </c>
      <c r="C69" s="12" t="str">
        <f t="shared" si="0"/>
        <v/>
      </c>
      <c r="D69" s="12" t="str">
        <f>IF(C69="","",MAX(25,C69*Settings!$H18/100))</f>
        <v/>
      </c>
      <c r="E69" s="12" t="str">
        <f t="shared" si="1"/>
        <v/>
      </c>
      <c r="F69" s="31"/>
    </row>
    <row r="70" ht="15" customHeight="1">
      <c r="A70" s="27" t="str">
        <f>IF(Settings!A18="","",EDATE(A69,1))</f>
        <v/>
      </c>
      <c r="B70" s="29" t="str">
        <f t="shared" si="0"/>
        <v/>
      </c>
      <c r="C70" s="56" t="str">
        <f t="shared" si="0"/>
        <v/>
      </c>
      <c r="D70" s="56" t="str">
        <f>IF(C70="","",MAX(25,C70*Settings!$H18/100))</f>
        <v/>
      </c>
      <c r="E70" s="56" t="str">
        <f t="shared" si="1"/>
        <v/>
      </c>
      <c r="F70" s="26"/>
    </row>
    <row r="71" ht="15" customHeight="1">
      <c r="A71" s="32" t="str">
        <f>IF(Settings!A18="","",EDATE(A70,1))</f>
        <v/>
      </c>
      <c r="B71" s="11" t="str">
        <f t="shared" si="0"/>
        <v/>
      </c>
      <c r="C71" s="12" t="str">
        <f t="shared" si="0"/>
        <v/>
      </c>
      <c r="D71" s="12" t="str">
        <f>IF(C71="","",MAX(25,C71*Settings!$H18/100))</f>
        <v/>
      </c>
      <c r="E71" s="12" t="str">
        <f t="shared" si="1"/>
        <v/>
      </c>
      <c r="F71" s="31"/>
    </row>
    <row r="72" ht="15" customHeight="1">
      <c r="A72" s="27" t="str">
        <f>IF(Settings!A18="","",EDATE(A71,1))</f>
        <v/>
      </c>
      <c r="B72" s="29" t="str">
        <f t="shared" si="0"/>
        <v/>
      </c>
      <c r="C72" s="56" t="str">
        <f t="shared" si="0"/>
        <v/>
      </c>
      <c r="D72" s="56" t="str">
        <f>IF(C72="","",MAX(25,C72*Settings!$H18/100))</f>
        <v/>
      </c>
      <c r="E72" s="56" t="str">
        <f t="shared" si="1"/>
        <v/>
      </c>
      <c r="F72" s="26"/>
    </row>
    <row r="73" ht="15" customHeight="1">
      <c r="A73" s="32" t="str">
        <f>IF(Settings!A18="","",EDATE(A72,1))</f>
        <v/>
      </c>
      <c r="B73" s="11" t="str">
        <f t="shared" si="0"/>
        <v/>
      </c>
      <c r="C73" s="12" t="str">
        <f t="shared" si="0"/>
        <v/>
      </c>
      <c r="D73" s="12" t="str">
        <f>IF(C73="","",MAX(25,C73*Settings!$H18/100))</f>
        <v/>
      </c>
      <c r="E73" s="12" t="str">
        <f t="shared" si="1"/>
        <v/>
      </c>
      <c r="F73" s="31"/>
    </row>
    <row r="74" ht="15" customHeight="1">
      <c r="A74" s="27" t="str">
        <f>IF(Settings!A18="","",EDATE(A73,1))</f>
        <v/>
      </c>
      <c r="B74" s="29" t="str">
        <f t="shared" si="0"/>
        <v/>
      </c>
      <c r="C74" s="56" t="str">
        <f t="shared" si="0"/>
        <v/>
      </c>
      <c r="D74" s="56" t="str">
        <f>IF(C74="","",MAX(25,C74*Settings!$H18/100))</f>
        <v/>
      </c>
      <c r="E74" s="56" t="str">
        <f t="shared" si="1"/>
        <v/>
      </c>
      <c r="F74" s="26"/>
    </row>
    <row r="75" ht="15" customHeight="1">
      <c r="A75" s="32" t="str">
        <f>IF(Settings!A18="","",EDATE(A74,1))</f>
        <v/>
      </c>
      <c r="B75" s="11" t="str">
        <f t="shared" si="0"/>
        <v/>
      </c>
      <c r="C75" s="12" t="str">
        <f t="shared" si="0"/>
        <v/>
      </c>
      <c r="D75" s="12" t="str">
        <f>IF(C75="","",MAX(25,C75*Settings!$H18/100))</f>
        <v/>
      </c>
      <c r="E75" s="12" t="str">
        <f t="shared" si="1"/>
        <v/>
      </c>
      <c r="F75" s="31"/>
    </row>
    <row r="76" ht="15" customHeight="1">
      <c r="A76" s="27" t="str">
        <f>IF(Settings!A18="","",EDATE(A75,1))</f>
        <v/>
      </c>
      <c r="B76" s="29" t="str">
        <f t="shared" si="0"/>
        <v/>
      </c>
      <c r="C76" s="56" t="str">
        <f t="shared" si="0"/>
        <v/>
      </c>
      <c r="D76" s="56" t="str">
        <f>IF(C76="","",MAX(25,C76*Settings!$H18/100))</f>
        <v/>
      </c>
      <c r="E76" s="56" t="str">
        <f t="shared" si="1"/>
        <v/>
      </c>
      <c r="F76" s="26"/>
    </row>
    <row r="77" ht="15" customHeight="1">
      <c r="A77" s="32" t="str">
        <f>IF(Settings!A18="","",EDATE(A76,1))</f>
        <v/>
      </c>
      <c r="B77" s="11" t="str">
        <f t="shared" si="0"/>
        <v/>
      </c>
      <c r="C77" s="12" t="str">
        <f t="shared" si="0"/>
        <v/>
      </c>
      <c r="D77" s="12" t="str">
        <f>IF(C77="","",MAX(25,C77*Settings!$H18/100))</f>
        <v/>
      </c>
      <c r="E77" s="12" t="str">
        <f t="shared" si="1"/>
        <v/>
      </c>
      <c r="F77" s="31"/>
    </row>
    <row r="78" ht="15" customHeight="1">
      <c r="A78" s="27" t="str">
        <f>IF(Settings!A19="","",DATE(YEAR(TODAY()),MONTH(TODAY()),Settings!$G19))</f>
        <v/>
      </c>
      <c r="B78" s="29" t="str">
        <f>IF(Settings!A19="","",Settings!B19)</f>
        <v/>
      </c>
      <c r="C78" s="56" t="str">
        <f>IF(Settings!A19="","",SUMIF(Payments!$C:$C,Settings!$A19,Payments!$J:$J))</f>
        <v/>
      </c>
      <c r="D78" s="56" t="str">
        <f>IF(C78="","",MAX(25,C78*Settings!$H19/100))</f>
        <v/>
      </c>
      <c r="E78" s="56" t="str">
        <f t="shared" si="1"/>
        <v/>
      </c>
      <c r="F78" s="26"/>
    </row>
    <row r="79" ht="15" customHeight="1">
      <c r="A79" s="32" t="str">
        <f>IF(Settings!A19="","",EDATE(A78,1))</f>
        <v/>
      </c>
      <c r="B79" s="11" t="str">
        <f t="shared" si="0"/>
        <v/>
      </c>
      <c r="C79" s="12" t="str">
        <f t="shared" si="0"/>
        <v/>
      </c>
      <c r="D79" s="12" t="str">
        <f>IF(C79="","",MAX(25,C79*Settings!$H19/100))</f>
        <v/>
      </c>
      <c r="E79" s="12" t="str">
        <f t="shared" si="1"/>
        <v/>
      </c>
      <c r="F79" s="31"/>
    </row>
    <row r="80" ht="15" customHeight="1">
      <c r="A80" s="27" t="str">
        <f>IF(Settings!A19="","",EDATE(A79,1))</f>
        <v/>
      </c>
      <c r="B80" s="29" t="str">
        <f t="shared" si="0"/>
        <v/>
      </c>
      <c r="C80" s="56" t="str">
        <f t="shared" si="0"/>
        <v/>
      </c>
      <c r="D80" s="56" t="str">
        <f>IF(C80="","",MAX(25,C80*Settings!$H19/100))</f>
        <v/>
      </c>
      <c r="E80" s="56" t="str">
        <f t="shared" si="1"/>
        <v/>
      </c>
      <c r="F80" s="26"/>
    </row>
    <row r="81" ht="15" customHeight="1">
      <c r="A81" s="32" t="str">
        <f>IF(Settings!A19="","",EDATE(A80,1))</f>
        <v/>
      </c>
      <c r="B81" s="11" t="str">
        <f t="shared" si="0"/>
        <v/>
      </c>
      <c r="C81" s="12" t="str">
        <f t="shared" si="0"/>
        <v/>
      </c>
      <c r="D81" s="12" t="str">
        <f>IF(C81="","",MAX(25,C81*Settings!$H19/100))</f>
        <v/>
      </c>
      <c r="E81" s="12" t="str">
        <f t="shared" si="1"/>
        <v/>
      </c>
      <c r="F81" s="31"/>
    </row>
    <row r="82" ht="15" customHeight="1">
      <c r="A82" s="27" t="str">
        <f>IF(Settings!A19="","",EDATE(A81,1))</f>
        <v/>
      </c>
      <c r="B82" s="29" t="str">
        <f t="shared" si="0"/>
        <v/>
      </c>
      <c r="C82" s="56" t="str">
        <f t="shared" si="0"/>
        <v/>
      </c>
      <c r="D82" s="56" t="str">
        <f>IF(C82="","",MAX(25,C82*Settings!$H19/100))</f>
        <v/>
      </c>
      <c r="E82" s="56" t="str">
        <f t="shared" si="1"/>
        <v/>
      </c>
      <c r="F82" s="26"/>
    </row>
    <row r="83" ht="15" customHeight="1">
      <c r="A83" s="32" t="str">
        <f>IF(Settings!A19="","",EDATE(A82,1))</f>
        <v/>
      </c>
      <c r="B83" s="11" t="str">
        <f t="shared" si="0"/>
        <v/>
      </c>
      <c r="C83" s="12" t="str">
        <f t="shared" si="0"/>
        <v/>
      </c>
      <c r="D83" s="12" t="str">
        <f>IF(C83="","",MAX(25,C83*Settings!$H19/100))</f>
        <v/>
      </c>
      <c r="E83" s="12" t="str">
        <f t="shared" si="1"/>
        <v/>
      </c>
      <c r="F83" s="31"/>
    </row>
    <row r="84" ht="15" customHeight="1">
      <c r="A84" s="27" t="str">
        <f>IF(Settings!A19="","",EDATE(A83,1))</f>
        <v/>
      </c>
      <c r="B84" s="29" t="str">
        <f t="shared" si="0"/>
        <v/>
      </c>
      <c r="C84" s="56" t="str">
        <f t="shared" si="0"/>
        <v/>
      </c>
      <c r="D84" s="56" t="str">
        <f>IF(C84="","",MAX(25,C84*Settings!$H19/100))</f>
        <v/>
      </c>
      <c r="E84" s="56" t="str">
        <f t="shared" si="1"/>
        <v/>
      </c>
      <c r="F84" s="26"/>
    </row>
    <row r="85" ht="15" customHeight="1">
      <c r="A85" s="32" t="str">
        <f>IF(Settings!A19="","",EDATE(A84,1))</f>
        <v/>
      </c>
      <c r="B85" s="11" t="str">
        <f t="shared" si="0"/>
        <v/>
      </c>
      <c r="C85" s="12" t="str">
        <f t="shared" si="0"/>
        <v/>
      </c>
      <c r="D85" s="12" t="str">
        <f>IF(C85="","",MAX(25,C85*Settings!$H19/100))</f>
        <v/>
      </c>
      <c r="E85" s="12" t="str">
        <f t="shared" si="1"/>
        <v/>
      </c>
      <c r="F85" s="31"/>
    </row>
    <row r="86" ht="15" customHeight="1">
      <c r="A86" s="27" t="str">
        <f>IF(Settings!A19="","",EDATE(A85,1))</f>
        <v/>
      </c>
      <c r="B86" s="29" t="str">
        <f t="shared" si="0"/>
        <v/>
      </c>
      <c r="C86" s="56" t="str">
        <f t="shared" si="0"/>
        <v/>
      </c>
      <c r="D86" s="56" t="str">
        <f>IF(C86="","",MAX(25,C86*Settings!$H19/100))</f>
        <v/>
      </c>
      <c r="E86" s="56" t="str">
        <f t="shared" si="1"/>
        <v/>
      </c>
      <c r="F86" s="26"/>
    </row>
    <row r="87" ht="15" customHeight="1">
      <c r="A87" s="32" t="str">
        <f>IF(Settings!A19="","",EDATE(A86,1))</f>
        <v/>
      </c>
      <c r="B87" s="11" t="str">
        <f t="shared" si="0"/>
        <v/>
      </c>
      <c r="C87" s="12" t="str">
        <f t="shared" si="0"/>
        <v/>
      </c>
      <c r="D87" s="12" t="str">
        <f>IF(C87="","",MAX(25,C87*Settings!$H19/100))</f>
        <v/>
      </c>
      <c r="E87" s="12" t="str">
        <f t="shared" si="1"/>
        <v/>
      </c>
      <c r="F87" s="31"/>
    </row>
    <row r="88" ht="15" customHeight="1">
      <c r="A88" s="27" t="str">
        <f>IF(Settings!A19="","",EDATE(A87,1))</f>
        <v/>
      </c>
      <c r="B88" s="29" t="str">
        <f t="shared" si="0"/>
        <v/>
      </c>
      <c r="C88" s="56" t="str">
        <f t="shared" si="0"/>
        <v/>
      </c>
      <c r="D88" s="56" t="str">
        <f>IF(C88="","",MAX(25,C88*Settings!$H19/100))</f>
        <v/>
      </c>
      <c r="E88" s="56" t="str">
        <f t="shared" si="1"/>
        <v/>
      </c>
      <c r="F88" s="26"/>
    </row>
    <row r="89" ht="15" customHeight="1">
      <c r="A89" s="32" t="str">
        <f>IF(Settings!A19="","",EDATE(A88,1))</f>
        <v/>
      </c>
      <c r="B89" s="11" t="str">
        <f t="shared" si="0"/>
        <v/>
      </c>
      <c r="C89" s="12" t="str">
        <f t="shared" si="0"/>
        <v/>
      </c>
      <c r="D89" s="12" t="str">
        <f>IF(C89="","",MAX(25,C89*Settings!$H19/100))</f>
        <v/>
      </c>
      <c r="E89" s="12" t="str">
        <f t="shared" si="1"/>
        <v/>
      </c>
      <c r="F89" s="31"/>
    </row>
    <row r="90" ht="15" customHeight="1">
      <c r="A90" s="27" t="str">
        <f>IF(Settings!A20="","",DATE(YEAR(TODAY()),MONTH(TODAY()),Settings!$G20))</f>
        <v/>
      </c>
      <c r="B90" s="29" t="str">
        <f>IF(Settings!A20="","",Settings!B20)</f>
        <v/>
      </c>
      <c r="C90" s="56" t="str">
        <f>IF(Settings!A20="","",SUMIF(Payments!$C:$C,Settings!$A20,Payments!$J:$J))</f>
        <v/>
      </c>
      <c r="D90" s="56" t="str">
        <f>IF(C90="","",MAX(25,C90*Settings!$H20/100))</f>
        <v/>
      </c>
      <c r="E90" s="56" t="str">
        <f t="shared" si="1"/>
        <v/>
      </c>
      <c r="F90" s="26"/>
    </row>
    <row r="91" ht="15" customHeight="1">
      <c r="A91" s="32" t="str">
        <f>IF(Settings!A20="","",EDATE(A90,1))</f>
        <v/>
      </c>
      <c r="B91" s="11" t="str">
        <f t="shared" si="0"/>
        <v/>
      </c>
      <c r="C91" s="12" t="str">
        <f t="shared" si="0"/>
        <v/>
      </c>
      <c r="D91" s="12" t="str">
        <f>IF(C91="","",MAX(25,C91*Settings!$H20/100))</f>
        <v/>
      </c>
      <c r="E91" s="12" t="str">
        <f t="shared" si="1"/>
        <v/>
      </c>
      <c r="F91" s="31"/>
    </row>
    <row r="92" ht="15" customHeight="1">
      <c r="A92" s="27" t="str">
        <f>IF(Settings!A20="","",EDATE(A91,1))</f>
        <v/>
      </c>
      <c r="B92" s="29" t="str">
        <f t="shared" si="0"/>
        <v/>
      </c>
      <c r="C92" s="56" t="str">
        <f t="shared" si="0"/>
        <v/>
      </c>
      <c r="D92" s="56" t="str">
        <f>IF(C92="","",MAX(25,C92*Settings!$H20/100))</f>
        <v/>
      </c>
      <c r="E92" s="56" t="str">
        <f t="shared" si="1"/>
        <v/>
      </c>
      <c r="F92" s="26"/>
    </row>
    <row r="93" ht="15" customHeight="1">
      <c r="A93" s="32" t="str">
        <f>IF(Settings!A20="","",EDATE(A92,1))</f>
        <v/>
      </c>
      <c r="B93" s="11" t="str">
        <f t="shared" si="0"/>
        <v/>
      </c>
      <c r="C93" s="12" t="str">
        <f t="shared" si="0"/>
        <v/>
      </c>
      <c r="D93" s="12" t="str">
        <f>IF(C93="","",MAX(25,C93*Settings!$H20/100))</f>
        <v/>
      </c>
      <c r="E93" s="12" t="str">
        <f t="shared" si="1"/>
        <v/>
      </c>
      <c r="F93" s="31"/>
    </row>
    <row r="94" ht="15" customHeight="1">
      <c r="A94" s="27" t="str">
        <f>IF(Settings!A20="","",EDATE(A93,1))</f>
        <v/>
      </c>
      <c r="B94" s="29" t="str">
        <f t="shared" si="0"/>
        <v/>
      </c>
      <c r="C94" s="56" t="str">
        <f t="shared" si="0"/>
        <v/>
      </c>
      <c r="D94" s="56" t="str">
        <f>IF(C94="","",MAX(25,C94*Settings!$H20/100))</f>
        <v/>
      </c>
      <c r="E94" s="56" t="str">
        <f t="shared" si="1"/>
        <v/>
      </c>
      <c r="F94" s="26"/>
    </row>
    <row r="95" ht="15" customHeight="1">
      <c r="A95" s="32" t="str">
        <f>IF(Settings!A20="","",EDATE(A94,1))</f>
        <v/>
      </c>
      <c r="B95" s="11" t="str">
        <f t="shared" si="0"/>
        <v/>
      </c>
      <c r="C95" s="12" t="str">
        <f t="shared" si="0"/>
        <v/>
      </c>
      <c r="D95" s="12" t="str">
        <f>IF(C95="","",MAX(25,C95*Settings!$H20/100))</f>
        <v/>
      </c>
      <c r="E95" s="12" t="str">
        <f t="shared" si="1"/>
        <v/>
      </c>
      <c r="F95" s="31"/>
    </row>
    <row r="96" ht="15" customHeight="1">
      <c r="A96" s="27" t="str">
        <f>IF(Settings!A20="","",EDATE(A95,1))</f>
        <v/>
      </c>
      <c r="B96" s="29" t="str">
        <f t="shared" si="0"/>
        <v/>
      </c>
      <c r="C96" s="56" t="str">
        <f t="shared" si="0"/>
        <v/>
      </c>
      <c r="D96" s="56" t="str">
        <f>IF(C96="","",MAX(25,C96*Settings!$H20/100))</f>
        <v/>
      </c>
      <c r="E96" s="56" t="str">
        <f t="shared" si="1"/>
        <v/>
      </c>
      <c r="F96" s="26"/>
    </row>
    <row r="97" ht="15" customHeight="1">
      <c r="A97" s="32" t="str">
        <f>IF(Settings!A20="","",EDATE(A96,1))</f>
        <v/>
      </c>
      <c r="B97" s="11" t="str">
        <f t="shared" si="0"/>
        <v/>
      </c>
      <c r="C97" s="12" t="str">
        <f t="shared" si="0"/>
        <v/>
      </c>
      <c r="D97" s="12" t="str">
        <f>IF(C97="","",MAX(25,C97*Settings!$H20/100))</f>
        <v/>
      </c>
      <c r="E97" s="12" t="str">
        <f t="shared" si="1"/>
        <v/>
      </c>
      <c r="F97" s="31"/>
    </row>
    <row r="98" ht="15" customHeight="1">
      <c r="A98" s="27" t="str">
        <f>IF(Settings!A20="","",EDATE(A97,1))</f>
        <v/>
      </c>
      <c r="B98" s="29" t="str">
        <f t="shared" si="0"/>
        <v/>
      </c>
      <c r="C98" s="56" t="str">
        <f t="shared" si="0"/>
        <v/>
      </c>
      <c r="D98" s="56" t="str">
        <f>IF(C98="","",MAX(25,C98*Settings!$H20/100))</f>
        <v/>
      </c>
      <c r="E98" s="56" t="str">
        <f t="shared" si="1"/>
        <v/>
      </c>
      <c r="F98" s="26"/>
    </row>
    <row r="99" ht="15" customHeight="1">
      <c r="A99" s="32" t="str">
        <f>IF(Settings!A20="","",EDATE(A98,1))</f>
        <v/>
      </c>
      <c r="B99" s="11" t="str">
        <f t="shared" si="0"/>
        <v/>
      </c>
      <c r="C99" s="12" t="str">
        <f t="shared" si="0"/>
        <v/>
      </c>
      <c r="D99" s="12" t="str">
        <f>IF(C99="","",MAX(25,C99*Settings!$H20/100))</f>
        <v/>
      </c>
      <c r="E99" s="12" t="str">
        <f t="shared" si="1"/>
        <v/>
      </c>
      <c r="F99" s="31"/>
    </row>
    <row r="100" ht="15" customHeight="1">
      <c r="A100" s="27" t="str">
        <f>IF(Settings!A20="","",EDATE(A99,1))</f>
        <v/>
      </c>
      <c r="B100" s="29" t="str">
        <f t="shared" si="0"/>
        <v/>
      </c>
      <c r="C100" s="56" t="str">
        <f t="shared" si="0"/>
        <v/>
      </c>
      <c r="D100" s="56" t="str">
        <f>IF(C100="","",MAX(25,C100*Settings!$H20/100))</f>
        <v/>
      </c>
      <c r="E100" s="56" t="str">
        <f t="shared" si="1"/>
        <v/>
      </c>
      <c r="F100" s="26"/>
    </row>
    <row r="101" ht="15" customHeight="1">
      <c r="A101" s="32" t="str">
        <f>IF(Settings!A20="","",EDATE(A100,1))</f>
        <v/>
      </c>
      <c r="B101" s="11" t="str">
        <f t="shared" si="0"/>
        <v/>
      </c>
      <c r="C101" s="12" t="str">
        <f t="shared" si="0"/>
        <v/>
      </c>
      <c r="D101" s="12" t="str">
        <f>IF(C101="","",MAX(25,C101*Settings!$H20/100))</f>
        <v/>
      </c>
      <c r="E101" s="12" t="str">
        <f t="shared" si="1"/>
        <v/>
      </c>
      <c r="F101" s="31"/>
    </row>
    <row r="102" ht="15" customHeight="1">
      <c r="A102" s="27" t="str">
        <f>IF(Settings!A21="","",DATE(YEAR(TODAY()),MONTH(TODAY()),Settings!$G21))</f>
        <v/>
      </c>
      <c r="B102" s="29" t="str">
        <f>IF(Settings!A21="","",Settings!B21)</f>
        <v/>
      </c>
      <c r="C102" s="56" t="str">
        <f>IF(Settings!A21="","",SUMIF(Payments!$C:$C,Settings!$A21,Payments!$J:$J))</f>
        <v/>
      </c>
      <c r="D102" s="56" t="str">
        <f>IF(C102="","",MAX(25,C102*Settings!$H21/100))</f>
        <v/>
      </c>
      <c r="E102" s="56" t="str">
        <f t="shared" si="1"/>
        <v/>
      </c>
      <c r="F102" s="26"/>
    </row>
    <row r="103" ht="15" customHeight="1">
      <c r="A103" s="32" t="str">
        <f>IF(Settings!A21="","",EDATE(A102,1))</f>
        <v/>
      </c>
      <c r="B103" s="11" t="str">
        <f t="shared" si="0"/>
        <v/>
      </c>
      <c r="C103" s="12" t="str">
        <f t="shared" si="0"/>
        <v/>
      </c>
      <c r="D103" s="12" t="str">
        <f>IF(C103="","",MAX(25,C103*Settings!$H21/100))</f>
        <v/>
      </c>
      <c r="E103" s="12" t="str">
        <f t="shared" si="1"/>
        <v/>
      </c>
      <c r="F103" s="31"/>
    </row>
    <row r="104" ht="15" customHeight="1">
      <c r="A104" s="27" t="str">
        <f>IF(Settings!A21="","",EDATE(A103,1))</f>
        <v/>
      </c>
      <c r="B104" s="29" t="str">
        <f t="shared" si="0"/>
        <v/>
      </c>
      <c r="C104" s="56" t="str">
        <f t="shared" si="0"/>
        <v/>
      </c>
      <c r="D104" s="56" t="str">
        <f>IF(C104="","",MAX(25,C104*Settings!$H21/100))</f>
        <v/>
      </c>
      <c r="E104" s="56" t="str">
        <f t="shared" si="1"/>
        <v/>
      </c>
      <c r="F104" s="26"/>
    </row>
    <row r="105" ht="15" customHeight="1">
      <c r="A105" s="32" t="str">
        <f>IF(Settings!A21="","",EDATE(A104,1))</f>
        <v/>
      </c>
      <c r="B105" s="11" t="str">
        <f t="shared" si="0"/>
        <v/>
      </c>
      <c r="C105" s="12" t="str">
        <f t="shared" si="0"/>
        <v/>
      </c>
      <c r="D105" s="12" t="str">
        <f>IF(C105="","",MAX(25,C105*Settings!$H21/100))</f>
        <v/>
      </c>
      <c r="E105" s="12" t="str">
        <f t="shared" si="1"/>
        <v/>
      </c>
      <c r="F105" s="31"/>
    </row>
    <row r="106" ht="15" customHeight="1">
      <c r="A106" s="27" t="str">
        <f>IF(Settings!A21="","",EDATE(A105,1))</f>
        <v/>
      </c>
      <c r="B106" s="29" t="str">
        <f t="shared" si="0"/>
        <v/>
      </c>
      <c r="C106" s="56" t="str">
        <f t="shared" si="0"/>
        <v/>
      </c>
      <c r="D106" s="56" t="str">
        <f>IF(C106="","",MAX(25,C106*Settings!$H21/100))</f>
        <v/>
      </c>
      <c r="E106" s="56" t="str">
        <f t="shared" si="1"/>
        <v/>
      </c>
      <c r="F106" s="26"/>
    </row>
    <row r="107" ht="15" customHeight="1">
      <c r="A107" s="32" t="str">
        <f>IF(Settings!A21="","",EDATE(A106,1))</f>
        <v/>
      </c>
      <c r="B107" s="11" t="str">
        <f t="shared" si="0"/>
        <v/>
      </c>
      <c r="C107" s="12" t="str">
        <f t="shared" si="0"/>
        <v/>
      </c>
      <c r="D107" s="12" t="str">
        <f>IF(C107="","",MAX(25,C107*Settings!$H21/100))</f>
        <v/>
      </c>
      <c r="E107" s="12" t="str">
        <f t="shared" si="1"/>
        <v/>
      </c>
      <c r="F107" s="31"/>
    </row>
    <row r="108" ht="15" customHeight="1">
      <c r="A108" s="27" t="str">
        <f>IF(Settings!A21="","",EDATE(A107,1))</f>
        <v/>
      </c>
      <c r="B108" s="29" t="str">
        <f t="shared" si="0"/>
        <v/>
      </c>
      <c r="C108" s="56" t="str">
        <f t="shared" si="0"/>
        <v/>
      </c>
      <c r="D108" s="56" t="str">
        <f>IF(C108="","",MAX(25,C108*Settings!$H21/100))</f>
        <v/>
      </c>
      <c r="E108" s="56" t="str">
        <f t="shared" si="1"/>
        <v/>
      </c>
      <c r="F108" s="26"/>
    </row>
    <row r="109" ht="15" customHeight="1">
      <c r="A109" s="32" t="str">
        <f>IF(Settings!A21="","",EDATE(A108,1))</f>
        <v/>
      </c>
      <c r="B109" s="11" t="str">
        <f t="shared" si="0"/>
        <v/>
      </c>
      <c r="C109" s="12" t="str">
        <f t="shared" si="0"/>
        <v/>
      </c>
      <c r="D109" s="12" t="str">
        <f>IF(C109="","",MAX(25,C109*Settings!$H21/100))</f>
        <v/>
      </c>
      <c r="E109" s="12" t="str">
        <f t="shared" si="1"/>
        <v/>
      </c>
      <c r="F109" s="31"/>
    </row>
    <row r="110" ht="15" customHeight="1">
      <c r="A110" s="27" t="str">
        <f>IF(Settings!A21="","",EDATE(A109,1))</f>
        <v/>
      </c>
      <c r="B110" s="29" t="str">
        <f t="shared" si="0"/>
        <v/>
      </c>
      <c r="C110" s="56" t="str">
        <f t="shared" si="0"/>
        <v/>
      </c>
      <c r="D110" s="56" t="str">
        <f>IF(C110="","",MAX(25,C110*Settings!$H21/100))</f>
        <v/>
      </c>
      <c r="E110" s="56" t="str">
        <f t="shared" si="1"/>
        <v/>
      </c>
      <c r="F110" s="26"/>
    </row>
    <row r="111" ht="15" customHeight="1">
      <c r="A111" s="32" t="str">
        <f>IF(Settings!A21="","",EDATE(A110,1))</f>
        <v/>
      </c>
      <c r="B111" s="11" t="str">
        <f t="shared" si="0"/>
        <v/>
      </c>
      <c r="C111" s="12" t="str">
        <f t="shared" si="0"/>
        <v/>
      </c>
      <c r="D111" s="12" t="str">
        <f>IF(C111="","",MAX(25,C111*Settings!$H21/100))</f>
        <v/>
      </c>
      <c r="E111" s="12" t="str">
        <f t="shared" si="1"/>
        <v/>
      </c>
      <c r="F111" s="31"/>
    </row>
    <row r="112" ht="15" customHeight="1">
      <c r="A112" s="27" t="str">
        <f>IF(Settings!A21="","",EDATE(A111,1))</f>
        <v/>
      </c>
      <c r="B112" s="29" t="str">
        <f t="shared" si="0"/>
        <v/>
      </c>
      <c r="C112" s="56" t="str">
        <f t="shared" si="0"/>
        <v/>
      </c>
      <c r="D112" s="56" t="str">
        <f>IF(C112="","",MAX(25,C112*Settings!$H21/100))</f>
        <v/>
      </c>
      <c r="E112" s="56" t="str">
        <f t="shared" si="1"/>
        <v/>
      </c>
      <c r="F112" s="26"/>
    </row>
    <row r="113" ht="15" customHeight="1">
      <c r="A113" s="32" t="str">
        <f>IF(Settings!A21="","",EDATE(A112,1))</f>
        <v/>
      </c>
      <c r="B113" s="11" t="str">
        <f t="shared" si="0"/>
        <v/>
      </c>
      <c r="C113" s="12" t="str">
        <f t="shared" si="0"/>
        <v/>
      </c>
      <c r="D113" s="12" t="str">
        <f>IF(C113="","",MAX(25,C113*Settings!$H21/100))</f>
        <v/>
      </c>
      <c r="E113" s="12" t="str">
        <f t="shared" si="1"/>
        <v/>
      </c>
      <c r="F113" s="31"/>
    </row>
    <row r="114" ht="15" customHeight="1">
      <c r="A114" s="27" t="str">
        <f>IF(Settings!A22="","",DATE(YEAR(TODAY()),MONTH(TODAY()),Settings!$G22))</f>
        <v/>
      </c>
      <c r="B114" s="29" t="str">
        <f>IF(Settings!A22="","",Settings!B22)</f>
        <v/>
      </c>
      <c r="C114" s="56" t="str">
        <f>IF(Settings!A22="","",SUMIF(Payments!$C:$C,Settings!$A22,Payments!$J:$J))</f>
        <v/>
      </c>
      <c r="D114" s="56" t="str">
        <f>IF(C114="","",MAX(25,C114*Settings!$H22/100))</f>
        <v/>
      </c>
      <c r="E114" s="56" t="str">
        <f t="shared" si="1"/>
        <v/>
      </c>
      <c r="F114" s="26"/>
    </row>
    <row r="115" ht="15" customHeight="1">
      <c r="A115" s="32" t="str">
        <f>IF(Settings!A22="","",EDATE(A114,1))</f>
        <v/>
      </c>
      <c r="B115" s="11" t="str">
        <f t="shared" si="0"/>
        <v/>
      </c>
      <c r="C115" s="12" t="str">
        <f t="shared" si="0"/>
        <v/>
      </c>
      <c r="D115" s="12" t="str">
        <f>IF(C115="","",MAX(25,C115*Settings!$H22/100))</f>
        <v/>
      </c>
      <c r="E115" s="12" t="str">
        <f t="shared" si="1"/>
        <v/>
      </c>
      <c r="F115" s="31"/>
    </row>
    <row r="116" ht="15" customHeight="1">
      <c r="A116" s="27" t="str">
        <f>IF(Settings!A22="","",EDATE(A115,1))</f>
        <v/>
      </c>
      <c r="B116" s="29" t="str">
        <f t="shared" si="0"/>
        <v/>
      </c>
      <c r="C116" s="56" t="str">
        <f t="shared" si="0"/>
        <v/>
      </c>
      <c r="D116" s="56" t="str">
        <f>IF(C116="","",MAX(25,C116*Settings!$H22/100))</f>
        <v/>
      </c>
      <c r="E116" s="56" t="str">
        <f t="shared" si="1"/>
        <v/>
      </c>
      <c r="F116" s="26"/>
    </row>
    <row r="117" ht="15" customHeight="1">
      <c r="A117" s="32" t="str">
        <f>IF(Settings!A22="","",EDATE(A116,1))</f>
        <v/>
      </c>
      <c r="B117" s="11" t="str">
        <f t="shared" si="0"/>
        <v/>
      </c>
      <c r="C117" s="12" t="str">
        <f t="shared" si="0"/>
        <v/>
      </c>
      <c r="D117" s="12" t="str">
        <f>IF(C117="","",MAX(25,C117*Settings!$H22/100))</f>
        <v/>
      </c>
      <c r="E117" s="12" t="str">
        <f t="shared" si="1"/>
        <v/>
      </c>
      <c r="F117" s="31"/>
    </row>
    <row r="118" ht="15" customHeight="1">
      <c r="A118" s="27" t="str">
        <f>IF(Settings!A22="","",EDATE(A117,1))</f>
        <v/>
      </c>
      <c r="B118" s="29" t="str">
        <f t="shared" si="0"/>
        <v/>
      </c>
      <c r="C118" s="56" t="str">
        <f t="shared" si="0"/>
        <v/>
      </c>
      <c r="D118" s="56" t="str">
        <f>IF(C118="","",MAX(25,C118*Settings!$H22/100))</f>
        <v/>
      </c>
      <c r="E118" s="56" t="str">
        <f t="shared" si="1"/>
        <v/>
      </c>
      <c r="F118" s="26"/>
    </row>
    <row r="119" ht="15" customHeight="1">
      <c r="A119" s="32" t="str">
        <f>IF(Settings!A22="","",EDATE(A118,1))</f>
        <v/>
      </c>
      <c r="B119" s="11" t="str">
        <f t="shared" si="0"/>
        <v/>
      </c>
      <c r="C119" s="12" t="str">
        <f t="shared" si="0"/>
        <v/>
      </c>
      <c r="D119" s="12" t="str">
        <f>IF(C119="","",MAX(25,C119*Settings!$H22/100))</f>
        <v/>
      </c>
      <c r="E119" s="12" t="str">
        <f t="shared" si="1"/>
        <v/>
      </c>
      <c r="F119" s="31"/>
    </row>
    <row r="120" ht="15" customHeight="1">
      <c r="A120" s="27" t="str">
        <f>IF(Settings!A22="","",EDATE(A119,1))</f>
        <v/>
      </c>
      <c r="B120" s="29" t="str">
        <f t="shared" si="0"/>
        <v/>
      </c>
      <c r="C120" s="56" t="str">
        <f t="shared" si="0"/>
        <v/>
      </c>
      <c r="D120" s="56" t="str">
        <f>IF(C120="","",MAX(25,C120*Settings!$H22/100))</f>
        <v/>
      </c>
      <c r="E120" s="56" t="str">
        <f t="shared" si="1"/>
        <v/>
      </c>
      <c r="F120" s="26"/>
    </row>
    <row r="121" ht="15" customHeight="1">
      <c r="A121" s="32" t="str">
        <f>IF(Settings!A22="","",EDATE(A120,1))</f>
        <v/>
      </c>
      <c r="B121" s="11" t="str">
        <f t="shared" si="0"/>
        <v/>
      </c>
      <c r="C121" s="12" t="str">
        <f t="shared" si="0"/>
        <v/>
      </c>
      <c r="D121" s="12" t="str">
        <f>IF(C121="","",MAX(25,C121*Settings!$H22/100))</f>
        <v/>
      </c>
      <c r="E121" s="12" t="str">
        <f t="shared" si="1"/>
        <v/>
      </c>
      <c r="F121" s="31"/>
    </row>
    <row r="122" ht="15" customHeight="1">
      <c r="A122" s="27" t="str">
        <f>IF(Settings!A22="","",EDATE(A121,1))</f>
        <v/>
      </c>
      <c r="B122" s="29" t="str">
        <f t="shared" si="0"/>
        <v/>
      </c>
      <c r="C122" s="56" t="str">
        <f t="shared" si="0"/>
        <v/>
      </c>
      <c r="D122" s="56" t="str">
        <f>IF(C122="","",MAX(25,C122*Settings!$H22/100))</f>
        <v/>
      </c>
      <c r="E122" s="56" t="str">
        <f t="shared" si="1"/>
        <v/>
      </c>
      <c r="F122" s="26"/>
    </row>
    <row r="123" ht="15" customHeight="1">
      <c r="A123" s="32" t="str">
        <f>IF(Settings!A22="","",EDATE(A122,1))</f>
        <v/>
      </c>
      <c r="B123" s="11" t="str">
        <f t="shared" si="0"/>
        <v/>
      </c>
      <c r="C123" s="12" t="str">
        <f t="shared" si="0"/>
        <v/>
      </c>
      <c r="D123" s="12" t="str">
        <f>IF(C123="","",MAX(25,C123*Settings!$H22/100))</f>
        <v/>
      </c>
      <c r="E123" s="12" t="str">
        <f t="shared" si="1"/>
        <v/>
      </c>
      <c r="F123" s="31"/>
    </row>
    <row r="124" ht="15" customHeight="1">
      <c r="A124" s="27" t="str">
        <f>IF(Settings!A22="","",EDATE(A123,1))</f>
        <v/>
      </c>
      <c r="B124" s="29" t="str">
        <f t="shared" si="0"/>
        <v/>
      </c>
      <c r="C124" s="56" t="str">
        <f t="shared" si="0"/>
        <v/>
      </c>
      <c r="D124" s="56" t="str">
        <f>IF(C124="","",MAX(25,C124*Settings!$H22/100))</f>
        <v/>
      </c>
      <c r="E124" s="56" t="str">
        <f t="shared" si="1"/>
        <v/>
      </c>
      <c r="F124" s="26"/>
    </row>
    <row r="125" ht="15" customHeight="1">
      <c r="A125" s="32" t="str">
        <f>IF(Settings!A22="","",EDATE(A124,1))</f>
        <v/>
      </c>
      <c r="B125" s="11" t="str">
        <f t="shared" si="0"/>
        <v/>
      </c>
      <c r="C125" s="12" t="str">
        <f t="shared" si="0"/>
        <v/>
      </c>
      <c r="D125" s="12" t="str">
        <f>IF(C125="","",MAX(25,C125*Settings!$H22/100))</f>
        <v/>
      </c>
      <c r="E125" s="12" t="str">
        <f t="shared" si="1"/>
        <v/>
      </c>
      <c r="F125" s="31"/>
    </row>
    <row r="128" ht="17.25" customHeight="1">
      <c r="A128" s="37" t="s">
        <v>128</v>
      </c>
    </row>
    <row r="130" ht="15" customHeight="1">
      <c r="A130" s="52" t="s">
        <v>129</v>
      </c>
      <c r="C130" s="21">
        <f>_xlfn.SUMIFS(D:D,A:A,"&gt;="&amp;TODAY(),A:A,"&lt;="&amp;TODAY()+30)</f>
        <v>1389.63725</v>
      </c>
    </row>
    <row r="131" ht="15" customHeight="1">
      <c r="A131" s="52" t="s">
        <v>130</v>
      </c>
      <c r="C131" s="42">
        <f>_xlfn.COUNTIFS(A:A,"&gt;="&amp;TODAY(),A:A,"&lt;="&amp;TODAY()+30,B:B,"&lt;&gt;")</f>
        <v>3</v>
      </c>
    </row>
    <row r="132" ht="15" customHeight="1">
      <c r="A132" s="52" t="s">
        <v>131</v>
      </c>
      <c r="C132" s="42">
        <f>_xlfn.COUNTIFS(F:F,"YES",A:A,"&gt;="&amp;TODAY(),A:A,"&lt;="&amp;TODAY()+30)</f>
        <v>0</v>
      </c>
    </row>
    <row r="135" ht="15" customHeight="1">
      <c r="A135" s="52" t="s">
        <v>116</v>
      </c>
    </row>
    <row r="136" ht="15" customHeight="1">
      <c r="A136" s="53" t="s">
        <v>132</v>
      </c>
    </row>
    <row r="137" ht="15" customHeight="1">
      <c r="A137" s="53" t="s">
        <v>133</v>
      </c>
    </row>
    <row r="138" ht="15" customHeight="1">
      <c r="A138" s="53" t="s">
        <v>134</v>
      </c>
    </row>
    <row r="139" ht="15" customHeight="1">
      <c r="A139" s="53" t="s">
        <v>135</v>
      </c>
    </row>
    <row r="140" ht="15" customHeight="1">
      <c r="A140" s="53" t="s">
        <v>136</v>
      </c>
    </row>
  </sheetData>
  <mergeCells>
    <mergeCell ref="A1:F1"/>
    <mergeCell ref="A3:F3"/>
    <mergeCell ref="A128:F128"/>
    <mergeCell ref="A136:F136"/>
    <mergeCell ref="A137:F137"/>
    <mergeCell ref="A138:F138"/>
    <mergeCell ref="A139:F139"/>
    <mergeCell ref="A140:F140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A365F288-AB77-0EA7-4AC3-8341A15C9355}" mc:Ignorable="x14ac xr xr2 xr3">
  <dimension ref="A1:GR1000"/>
  <sheetViews>
    <sheetView topLeftCell="A1" workbookViewId="0">
      <selection activeCell="A7" sqref="A7"/>
    </sheetView>
  </sheetViews>
  <sheetFormatPr defaultRowHeight="15" defaultColWidth="8.8515625" customHeight="1"/>
  <cols>
    <col min="1" max="1" width="14.28125" customWidth="1"/>
    <col min="2" max="2" width="20.00390625" customWidth="1"/>
    <col min="3" max="3" width="12.140625" customWidth="1"/>
    <col min="4" max="4" width="30.00390625" customWidth="1"/>
    <col min="5" max="6" width="12.140625" customWidth="1"/>
    <col min="7" max="7" width="14.28125" customWidth="1"/>
  </cols>
  <sheetData>
    <row r="1" ht="22.5" customHeight="1">
      <c r="A1" s="57" t="s">
        <v>137</v>
      </c>
    </row>
    <row r="3" ht="15" customHeight="1">
      <c r="A3" s="52" t="s">
        <v>138</v>
      </c>
      <c r="B3" t="str">
        <f>IF(COUNTA(Payments!C:C)&lt;=1,"All Cards",Payments!D2)</f>
        <v>Chase Sapphire Reserve</v>
      </c>
      <c r="D3" s="52" t="s">
        <v>139</v>
      </c>
      <c r="E3" t="str">
        <f>IF(COUNTA(Payments!B:B)&lt;=1,"No Data",TEXT(MIN(Payments!B2:B101),"DD-MM-YYYY")&amp;" to "&amp;TEXT(MAX(Payments!B2:B101),"DD-MM-YYYY"))</f>
        <v>30-12-1899 to 30-12-1899</v>
      </c>
    </row>
    <row r="4" ht="15" customHeight="1">
      <c r="A4" s="52" t="s">
        <v>141</v>
      </c>
      <c r="B4" t="str">
        <f>TEXT(TODAY(),"DD-MM-YYYY")</f>
        <v>25-12-2025</v>
      </c>
    </row>
    <row r="6" ht="15" customHeight="1">
      <c r="A6" s="58" t="s">
        <v>51</v>
      </c>
      <c r="B6" s="58" t="s">
        <v>25</v>
      </c>
      <c r="C6" s="58" t="s">
        <v>53</v>
      </c>
      <c r="D6" s="58" t="s">
        <v>55</v>
      </c>
      <c r="E6" s="58" t="s">
        <v>56</v>
      </c>
      <c r="F6" s="58" t="s">
        <v>9</v>
      </c>
      <c r="G6" s="58" t="s">
        <v>143</v>
      </c>
    </row>
    <row r="7" ht="15" customHeight="1">
      <c r="A7" s="59">
        <f>IF(COUNTA(Payments!A:A)&lt;=1,"",INDEX(Payments!B:B,COUNTA(Payments!A:A)-0))</f>
        <v>0</v>
      </c>
      <c r="B7" s="60" t="str">
        <f>IF(COUNTA(Payments!A:A)&lt;=1,"",INDEX(Payments!D:D,COUNTA(Payments!A:A)-0))</f>
        <v/>
      </c>
      <c r="C7" s="60">
        <f>IF(COUNTA(Payments!A:A)&lt;=1,"",INDEX(Payments!E:E,COUNTA(Payments!A:A)-0))</f>
        <v>0</v>
      </c>
      <c r="D7" s="60">
        <f>IF(COUNTA(Payments!A:A)&lt;=1,"",INDEX(Payments!G:G,COUNTA(Payments!A:A)-0))</f>
        <v>0</v>
      </c>
      <c r="E7" s="61">
        <f>IF(COUNTA(Payments!A:A)&lt;=1,"",INDEX(Payments!H:H,COUNTA(Payments!A:A)-0))</f>
        <v>0</v>
      </c>
      <c r="F7" s="61" t="str">
        <f>IF(COUNTA(Payments!A:A)&lt;=1,"",INDEX(Payments!J:J,COUNTA(Payments!A:A)-0))</f>
        <v/>
      </c>
      <c r="G7" s="60">
        <f>IF(COUNTA(Payments!A:A)&lt;=1,"",INDEX(Payments!K:K,COUNTA(Payments!A:A)-0))</f>
        <v>0</v>
      </c>
    </row>
    <row r="8" ht="15" customHeight="1">
      <c r="A8" s="27">
        <f>IF(COUNTA(Payments!A:A)&lt;=2,"",INDEX(Payments!B:B,COUNTA(Payments!A:A)-1))</f>
        <v>0</v>
      </c>
      <c r="B8" s="26" t="str">
        <f>IF(COUNTA(Payments!A:A)&lt;=2,"",INDEX(Payments!D:D,COUNTA(Payments!A:A)-1))</f>
        <v/>
      </c>
      <c r="C8" s="26">
        <f>IF(COUNTA(Payments!A:A)&lt;=2,"",INDEX(Payments!E:E,COUNTA(Payments!A:A)-1))</f>
        <v>0</v>
      </c>
      <c r="D8" s="26">
        <f>IF(COUNTA(Payments!A:A)&lt;=2,"",INDEX(Payments!G:G,COUNTA(Payments!A:A)-1))</f>
        <v>0</v>
      </c>
      <c r="E8" s="30">
        <f>IF(COUNTA(Payments!A:A)&lt;=2,"",INDEX(Payments!H:H,COUNTA(Payments!A:A)-1))</f>
        <v>0</v>
      </c>
      <c r="F8" s="30" t="str">
        <f>IF(COUNTA(Payments!A:A)&lt;=2,"",INDEX(Payments!J:J,COUNTA(Payments!A:A)-1))</f>
        <v/>
      </c>
      <c r="G8" s="26">
        <f>IF(COUNTA(Payments!A:A)&lt;=2,"",INDEX(Payments!K:K,COUNTA(Payments!A:A)-1))</f>
        <v>0</v>
      </c>
    </row>
    <row r="9" ht="15" customHeight="1">
      <c r="A9" s="59">
        <f>IF(COUNTA(Payments!A:A)&lt;=3,"",INDEX(Payments!B:B,COUNTA(Payments!A:A)-2))</f>
        <v>0</v>
      </c>
      <c r="B9" s="60" t="str">
        <f>IF(COUNTA(Payments!A:A)&lt;=3,"",INDEX(Payments!D:D,COUNTA(Payments!A:A)-2))</f>
        <v/>
      </c>
      <c r="C9" s="60">
        <f>IF(COUNTA(Payments!A:A)&lt;=3,"",INDEX(Payments!E:E,COUNTA(Payments!A:A)-2))</f>
        <v>0</v>
      </c>
      <c r="D9" s="60">
        <f>IF(COUNTA(Payments!A:A)&lt;=3,"",INDEX(Payments!G:G,COUNTA(Payments!A:A)-2))</f>
        <v>0</v>
      </c>
      <c r="E9" s="61">
        <f>IF(COUNTA(Payments!A:A)&lt;=3,"",INDEX(Payments!H:H,COUNTA(Payments!A:A)-2))</f>
        <v>0</v>
      </c>
      <c r="F9" s="61" t="str">
        <f>IF(COUNTA(Payments!A:A)&lt;=3,"",INDEX(Payments!J:J,COUNTA(Payments!A:A)-2))</f>
        <v/>
      </c>
      <c r="G9" s="60">
        <f>IF(COUNTA(Payments!A:A)&lt;=3,"",INDEX(Payments!K:K,COUNTA(Payments!A:A)-2))</f>
        <v>0</v>
      </c>
    </row>
    <row r="10" ht="15" customHeight="1">
      <c r="A10" s="27">
        <f>IF(COUNTA(Payments!A:A)&lt;=4,"",INDEX(Payments!B:B,COUNTA(Payments!A:A)-3))</f>
        <v>0</v>
      </c>
      <c r="B10" s="26" t="str">
        <f>IF(COUNTA(Payments!A:A)&lt;=4,"",INDEX(Payments!D:D,COUNTA(Payments!A:A)-3))</f>
        <v/>
      </c>
      <c r="C10" s="26">
        <f>IF(COUNTA(Payments!A:A)&lt;=4,"",INDEX(Payments!E:E,COUNTA(Payments!A:A)-3))</f>
        <v>0</v>
      </c>
      <c r="D10" s="26">
        <f>IF(COUNTA(Payments!A:A)&lt;=4,"",INDEX(Payments!G:G,COUNTA(Payments!A:A)-3))</f>
        <v>0</v>
      </c>
      <c r="E10" s="30">
        <f>IF(COUNTA(Payments!A:A)&lt;=4,"",INDEX(Payments!H:H,COUNTA(Payments!A:A)-3))</f>
        <v>0</v>
      </c>
      <c r="F10" s="30" t="str">
        <f>IF(COUNTA(Payments!A:A)&lt;=4,"",INDEX(Payments!J:J,COUNTA(Payments!A:A)-3))</f>
        <v/>
      </c>
      <c r="G10" s="26">
        <f>IF(COUNTA(Payments!A:A)&lt;=4,"",INDEX(Payments!K:K,COUNTA(Payments!A:A)-3))</f>
        <v>0</v>
      </c>
    </row>
    <row r="11" ht="15" customHeight="1">
      <c r="A11" s="59">
        <f>IF(COUNTA(Payments!A:A)&lt;=5,"",INDEX(Payments!B:B,COUNTA(Payments!A:A)-4))</f>
        <v>0</v>
      </c>
      <c r="B11" s="60" t="str">
        <f>IF(COUNTA(Payments!A:A)&lt;=5,"",INDEX(Payments!D:D,COUNTA(Payments!A:A)-4))</f>
        <v/>
      </c>
      <c r="C11" s="60">
        <f>IF(COUNTA(Payments!A:A)&lt;=5,"",INDEX(Payments!E:E,COUNTA(Payments!A:A)-4))</f>
        <v>0</v>
      </c>
      <c r="D11" s="60">
        <f>IF(COUNTA(Payments!A:A)&lt;=5,"",INDEX(Payments!G:G,COUNTA(Payments!A:A)-4))</f>
        <v>0</v>
      </c>
      <c r="E11" s="61">
        <f>IF(COUNTA(Payments!A:A)&lt;=5,"",INDEX(Payments!H:H,COUNTA(Payments!A:A)-4))</f>
        <v>0</v>
      </c>
      <c r="F11" s="61" t="str">
        <f>IF(COUNTA(Payments!A:A)&lt;=5,"",INDEX(Payments!J:J,COUNTA(Payments!A:A)-4))</f>
        <v/>
      </c>
      <c r="G11" s="60">
        <f>IF(COUNTA(Payments!A:A)&lt;=5,"",INDEX(Payments!K:K,COUNTA(Payments!A:A)-4))</f>
        <v>0</v>
      </c>
    </row>
    <row r="12" ht="15" customHeight="1">
      <c r="A12" s="27">
        <f>IF(COUNTA(Payments!A:A)&lt;=6,"",INDEX(Payments!B:B,COUNTA(Payments!A:A)-5))</f>
        <v>0</v>
      </c>
      <c r="B12" s="26" t="str">
        <f>IF(COUNTA(Payments!A:A)&lt;=6,"",INDEX(Payments!D:D,COUNTA(Payments!A:A)-5))</f>
        <v/>
      </c>
      <c r="C12" s="26">
        <f>IF(COUNTA(Payments!A:A)&lt;=6,"",INDEX(Payments!E:E,COUNTA(Payments!A:A)-5))</f>
        <v>0</v>
      </c>
      <c r="D12" s="26">
        <f>IF(COUNTA(Payments!A:A)&lt;=6,"",INDEX(Payments!G:G,COUNTA(Payments!A:A)-5))</f>
        <v>0</v>
      </c>
      <c r="E12" s="30">
        <f>IF(COUNTA(Payments!A:A)&lt;=6,"",INDEX(Payments!H:H,COUNTA(Payments!A:A)-5))</f>
        <v>0</v>
      </c>
      <c r="F12" s="30" t="str">
        <f>IF(COUNTA(Payments!A:A)&lt;=6,"",INDEX(Payments!J:J,COUNTA(Payments!A:A)-5))</f>
        <v/>
      </c>
      <c r="G12" s="26">
        <f>IF(COUNTA(Payments!A:A)&lt;=6,"",INDEX(Payments!K:K,COUNTA(Payments!A:A)-5))</f>
        <v>0</v>
      </c>
    </row>
    <row r="13" ht="15" customHeight="1">
      <c r="A13" s="59">
        <f>IF(COUNTA(Payments!A:A)&lt;=7,"",INDEX(Payments!B:B,COUNTA(Payments!A:A)-6))</f>
        <v>0</v>
      </c>
      <c r="B13" s="60" t="str">
        <f>IF(COUNTA(Payments!A:A)&lt;=7,"",INDEX(Payments!D:D,COUNTA(Payments!A:A)-6))</f>
        <v/>
      </c>
      <c r="C13" s="60">
        <f>IF(COUNTA(Payments!A:A)&lt;=7,"",INDEX(Payments!E:E,COUNTA(Payments!A:A)-6))</f>
        <v>0</v>
      </c>
      <c r="D13" s="60">
        <f>IF(COUNTA(Payments!A:A)&lt;=7,"",INDEX(Payments!G:G,COUNTA(Payments!A:A)-6))</f>
        <v>0</v>
      </c>
      <c r="E13" s="61">
        <f>IF(COUNTA(Payments!A:A)&lt;=7,"",INDEX(Payments!H:H,COUNTA(Payments!A:A)-6))</f>
        <v>0</v>
      </c>
      <c r="F13" s="61" t="str">
        <f>IF(COUNTA(Payments!A:A)&lt;=7,"",INDEX(Payments!J:J,COUNTA(Payments!A:A)-6))</f>
        <v/>
      </c>
      <c r="G13" s="60">
        <f>IF(COUNTA(Payments!A:A)&lt;=7,"",INDEX(Payments!K:K,COUNTA(Payments!A:A)-6))</f>
        <v>0</v>
      </c>
    </row>
    <row r="14" ht="15" customHeight="1">
      <c r="A14" s="27">
        <f>IF(COUNTA(Payments!A:A)&lt;=8,"",INDEX(Payments!B:B,COUNTA(Payments!A:A)-7))</f>
        <v>0</v>
      </c>
      <c r="B14" s="26" t="str">
        <f>IF(COUNTA(Payments!A:A)&lt;=8,"",INDEX(Payments!D:D,COUNTA(Payments!A:A)-7))</f>
        <v/>
      </c>
      <c r="C14" s="26">
        <f>IF(COUNTA(Payments!A:A)&lt;=8,"",INDEX(Payments!E:E,COUNTA(Payments!A:A)-7))</f>
        <v>0</v>
      </c>
      <c r="D14" s="26">
        <f>IF(COUNTA(Payments!A:A)&lt;=8,"",INDEX(Payments!G:G,COUNTA(Payments!A:A)-7))</f>
        <v>0</v>
      </c>
      <c r="E14" s="30">
        <f>IF(COUNTA(Payments!A:A)&lt;=8,"",INDEX(Payments!H:H,COUNTA(Payments!A:A)-7))</f>
        <v>0</v>
      </c>
      <c r="F14" s="30" t="str">
        <f>IF(COUNTA(Payments!A:A)&lt;=8,"",INDEX(Payments!J:J,COUNTA(Payments!A:A)-7))</f>
        <v/>
      </c>
      <c r="G14" s="26">
        <f>IF(COUNTA(Payments!A:A)&lt;=8,"",INDEX(Payments!K:K,COUNTA(Payments!A:A)-7))</f>
        <v>0</v>
      </c>
    </row>
    <row r="15" ht="15" customHeight="1">
      <c r="A15" s="59">
        <f>IF(COUNTA(Payments!A:A)&lt;=9,"",INDEX(Payments!B:B,COUNTA(Payments!A:A)-8))</f>
        <v>0</v>
      </c>
      <c r="B15" s="60" t="str">
        <f>IF(COUNTA(Payments!A:A)&lt;=9,"",INDEX(Payments!D:D,COUNTA(Payments!A:A)-8))</f>
        <v/>
      </c>
      <c r="C15" s="60">
        <f>IF(COUNTA(Payments!A:A)&lt;=9,"",INDEX(Payments!E:E,COUNTA(Payments!A:A)-8))</f>
        <v>0</v>
      </c>
      <c r="D15" s="60">
        <f>IF(COUNTA(Payments!A:A)&lt;=9,"",INDEX(Payments!G:G,COUNTA(Payments!A:A)-8))</f>
        <v>0</v>
      </c>
      <c r="E15" s="61">
        <f>IF(COUNTA(Payments!A:A)&lt;=9,"",INDEX(Payments!H:H,COUNTA(Payments!A:A)-8))</f>
        <v>0</v>
      </c>
      <c r="F15" s="61" t="str">
        <f>IF(COUNTA(Payments!A:A)&lt;=9,"",INDEX(Payments!J:J,COUNTA(Payments!A:A)-8))</f>
        <v/>
      </c>
      <c r="G15" s="60">
        <f>IF(COUNTA(Payments!A:A)&lt;=9,"",INDEX(Payments!K:K,COUNTA(Payments!A:A)-8))</f>
        <v>0</v>
      </c>
    </row>
    <row r="16" ht="15" customHeight="1">
      <c r="A16" s="27">
        <f>IF(COUNTA(Payments!A:A)&lt;=10,"",INDEX(Payments!B:B,COUNTA(Payments!A:A)-9))</f>
        <v>0</v>
      </c>
      <c r="B16" s="26" t="str">
        <f>IF(COUNTA(Payments!A:A)&lt;=10,"",INDEX(Payments!D:D,COUNTA(Payments!A:A)-9))</f>
        <v/>
      </c>
      <c r="C16" s="26">
        <f>IF(COUNTA(Payments!A:A)&lt;=10,"",INDEX(Payments!E:E,COUNTA(Payments!A:A)-9))</f>
        <v>0</v>
      </c>
      <c r="D16" s="26">
        <f>IF(COUNTA(Payments!A:A)&lt;=10,"",INDEX(Payments!G:G,COUNTA(Payments!A:A)-9))</f>
        <v>0</v>
      </c>
      <c r="E16" s="30">
        <f>IF(COUNTA(Payments!A:A)&lt;=10,"",INDEX(Payments!H:H,COUNTA(Payments!A:A)-9))</f>
        <v>0</v>
      </c>
      <c r="F16" s="30" t="str">
        <f>IF(COUNTA(Payments!A:A)&lt;=10,"",INDEX(Payments!J:J,COUNTA(Payments!A:A)-9))</f>
        <v/>
      </c>
      <c r="G16" s="26">
        <f>IF(COUNTA(Payments!A:A)&lt;=10,"",INDEX(Payments!K:K,COUNTA(Payments!A:A)-9))</f>
        <v>0</v>
      </c>
    </row>
    <row r="17" ht="15" customHeight="1">
      <c r="A17" s="59">
        <f>IF(COUNTA(Payments!A:A)&lt;=11,"",INDEX(Payments!B:B,COUNTA(Payments!A:A)-10))</f>
        <v>0</v>
      </c>
      <c r="B17" s="60" t="str">
        <f>IF(COUNTA(Payments!A:A)&lt;=11,"",INDEX(Payments!D:D,COUNTA(Payments!A:A)-10))</f>
        <v/>
      </c>
      <c r="C17" s="60">
        <f>IF(COUNTA(Payments!A:A)&lt;=11,"",INDEX(Payments!E:E,COUNTA(Payments!A:A)-10))</f>
        <v>0</v>
      </c>
      <c r="D17" s="60">
        <f>IF(COUNTA(Payments!A:A)&lt;=11,"",INDEX(Payments!G:G,COUNTA(Payments!A:A)-10))</f>
        <v>0</v>
      </c>
      <c r="E17" s="61">
        <f>IF(COUNTA(Payments!A:A)&lt;=11,"",INDEX(Payments!H:H,COUNTA(Payments!A:A)-10))</f>
        <v>0</v>
      </c>
      <c r="F17" s="61" t="str">
        <f>IF(COUNTA(Payments!A:A)&lt;=11,"",INDEX(Payments!J:J,COUNTA(Payments!A:A)-10))</f>
        <v/>
      </c>
      <c r="G17" s="60">
        <f>IF(COUNTA(Payments!A:A)&lt;=11,"",INDEX(Payments!K:K,COUNTA(Payments!A:A)-10))</f>
        <v>0</v>
      </c>
    </row>
    <row r="18" ht="15" customHeight="1">
      <c r="A18" s="27">
        <f>IF(COUNTA(Payments!A:A)&lt;=12,"",INDEX(Payments!B:B,COUNTA(Payments!A:A)-11))</f>
        <v>0</v>
      </c>
      <c r="B18" s="26" t="str">
        <f>IF(COUNTA(Payments!A:A)&lt;=12,"",INDEX(Payments!D:D,COUNTA(Payments!A:A)-11))</f>
        <v/>
      </c>
      <c r="C18" s="26">
        <f>IF(COUNTA(Payments!A:A)&lt;=12,"",INDEX(Payments!E:E,COUNTA(Payments!A:A)-11))</f>
        <v>0</v>
      </c>
      <c r="D18" s="26">
        <f>IF(COUNTA(Payments!A:A)&lt;=12,"",INDEX(Payments!G:G,COUNTA(Payments!A:A)-11))</f>
        <v>0</v>
      </c>
      <c r="E18" s="30">
        <f>IF(COUNTA(Payments!A:A)&lt;=12,"",INDEX(Payments!H:H,COUNTA(Payments!A:A)-11))</f>
        <v>0</v>
      </c>
      <c r="F18" s="30" t="str">
        <f>IF(COUNTA(Payments!A:A)&lt;=12,"",INDEX(Payments!J:J,COUNTA(Payments!A:A)-11))</f>
        <v/>
      </c>
      <c r="G18" s="26">
        <f>IF(COUNTA(Payments!A:A)&lt;=12,"",INDEX(Payments!K:K,COUNTA(Payments!A:A)-11))</f>
        <v>0</v>
      </c>
    </row>
    <row r="19" ht="15" customHeight="1">
      <c r="A19" s="59">
        <f>IF(COUNTA(Payments!A:A)&lt;=13,"",INDEX(Payments!B:B,COUNTA(Payments!A:A)-12))</f>
        <v>0</v>
      </c>
      <c r="B19" s="60" t="str">
        <f>IF(COUNTA(Payments!A:A)&lt;=13,"",INDEX(Payments!D:D,COUNTA(Payments!A:A)-12))</f>
        <v/>
      </c>
      <c r="C19" s="60">
        <f>IF(COUNTA(Payments!A:A)&lt;=13,"",INDEX(Payments!E:E,COUNTA(Payments!A:A)-12))</f>
        <v>0</v>
      </c>
      <c r="D19" s="60">
        <f>IF(COUNTA(Payments!A:A)&lt;=13,"",INDEX(Payments!G:G,COUNTA(Payments!A:A)-12))</f>
        <v>0</v>
      </c>
      <c r="E19" s="61">
        <f>IF(COUNTA(Payments!A:A)&lt;=13,"",INDEX(Payments!H:H,COUNTA(Payments!A:A)-12))</f>
        <v>0</v>
      </c>
      <c r="F19" s="61" t="str">
        <f>IF(COUNTA(Payments!A:A)&lt;=13,"",INDEX(Payments!J:J,COUNTA(Payments!A:A)-12))</f>
        <v/>
      </c>
      <c r="G19" s="60">
        <f>IF(COUNTA(Payments!A:A)&lt;=13,"",INDEX(Payments!K:K,COUNTA(Payments!A:A)-12))</f>
        <v>0</v>
      </c>
    </row>
    <row r="20" ht="15" customHeight="1">
      <c r="A20" s="27">
        <f>IF(COUNTA(Payments!A:A)&lt;=14,"",INDEX(Payments!B:B,COUNTA(Payments!A:A)-13))</f>
        <v>0</v>
      </c>
      <c r="B20" s="26" t="str">
        <f>IF(COUNTA(Payments!A:A)&lt;=14,"",INDEX(Payments!D:D,COUNTA(Payments!A:A)-13))</f>
        <v/>
      </c>
      <c r="C20" s="26">
        <f>IF(COUNTA(Payments!A:A)&lt;=14,"",INDEX(Payments!E:E,COUNTA(Payments!A:A)-13))</f>
        <v>0</v>
      </c>
      <c r="D20" s="26">
        <f>IF(COUNTA(Payments!A:A)&lt;=14,"",INDEX(Payments!G:G,COUNTA(Payments!A:A)-13))</f>
        <v>0</v>
      </c>
      <c r="E20" s="30">
        <f>IF(COUNTA(Payments!A:A)&lt;=14,"",INDEX(Payments!H:H,COUNTA(Payments!A:A)-13))</f>
        <v>0</v>
      </c>
      <c r="F20" s="30" t="str">
        <f>IF(COUNTA(Payments!A:A)&lt;=14,"",INDEX(Payments!J:J,COUNTA(Payments!A:A)-13))</f>
        <v/>
      </c>
      <c r="G20" s="26">
        <f>IF(COUNTA(Payments!A:A)&lt;=14,"",INDEX(Payments!K:K,COUNTA(Payments!A:A)-13))</f>
        <v>0</v>
      </c>
    </row>
    <row r="21" ht="15" customHeight="1">
      <c r="A21" s="59">
        <f>IF(COUNTA(Payments!A:A)&lt;=15,"",INDEX(Payments!B:B,COUNTA(Payments!A:A)-14))</f>
        <v>0</v>
      </c>
      <c r="B21" s="60" t="str">
        <f>IF(COUNTA(Payments!A:A)&lt;=15,"",INDEX(Payments!D:D,COUNTA(Payments!A:A)-14))</f>
        <v/>
      </c>
      <c r="C21" s="60">
        <f>IF(COUNTA(Payments!A:A)&lt;=15,"",INDEX(Payments!E:E,COUNTA(Payments!A:A)-14))</f>
        <v>0</v>
      </c>
      <c r="D21" s="60">
        <f>IF(COUNTA(Payments!A:A)&lt;=15,"",INDEX(Payments!G:G,COUNTA(Payments!A:A)-14))</f>
        <v>0</v>
      </c>
      <c r="E21" s="61">
        <f>IF(COUNTA(Payments!A:A)&lt;=15,"",INDEX(Payments!H:H,COUNTA(Payments!A:A)-14))</f>
        <v>0</v>
      </c>
      <c r="F21" s="61" t="str">
        <f>IF(COUNTA(Payments!A:A)&lt;=15,"",INDEX(Payments!J:J,COUNTA(Payments!A:A)-14))</f>
        <v/>
      </c>
      <c r="G21" s="60">
        <f>IF(COUNTA(Payments!A:A)&lt;=15,"",INDEX(Payments!K:K,COUNTA(Payments!A:A)-14))</f>
        <v>0</v>
      </c>
    </row>
    <row r="22" ht="15" customHeight="1">
      <c r="A22" s="27">
        <f>IF(COUNTA(Payments!A:A)&lt;=16,"",INDEX(Payments!B:B,COUNTA(Payments!A:A)-15))</f>
        <v>0</v>
      </c>
      <c r="B22" s="26" t="str">
        <f>IF(COUNTA(Payments!A:A)&lt;=16,"",INDEX(Payments!D:D,COUNTA(Payments!A:A)-15))</f>
        <v/>
      </c>
      <c r="C22" s="26">
        <f>IF(COUNTA(Payments!A:A)&lt;=16,"",INDEX(Payments!E:E,COUNTA(Payments!A:A)-15))</f>
        <v>0</v>
      </c>
      <c r="D22" s="26">
        <f>IF(COUNTA(Payments!A:A)&lt;=16,"",INDEX(Payments!G:G,COUNTA(Payments!A:A)-15))</f>
        <v>0</v>
      </c>
      <c r="E22" s="30">
        <f>IF(COUNTA(Payments!A:A)&lt;=16,"",INDEX(Payments!H:H,COUNTA(Payments!A:A)-15))</f>
        <v>0</v>
      </c>
      <c r="F22" s="30" t="str">
        <f>IF(COUNTA(Payments!A:A)&lt;=16,"",INDEX(Payments!J:J,COUNTA(Payments!A:A)-15))</f>
        <v/>
      </c>
      <c r="G22" s="26">
        <f>IF(COUNTA(Payments!A:A)&lt;=16,"",INDEX(Payments!K:K,COUNTA(Payments!A:A)-15))</f>
        <v>0</v>
      </c>
    </row>
    <row r="23" ht="15" customHeight="1">
      <c r="A23" s="59">
        <f>IF(COUNTA(Payments!A:A)&lt;=17,"",INDEX(Payments!B:B,COUNTA(Payments!A:A)-16))</f>
        <v>0</v>
      </c>
      <c r="B23" s="60" t="str">
        <f>IF(COUNTA(Payments!A:A)&lt;=17,"",INDEX(Payments!D:D,COUNTA(Payments!A:A)-16))</f>
        <v/>
      </c>
      <c r="C23" s="60">
        <f>IF(COUNTA(Payments!A:A)&lt;=17,"",INDEX(Payments!E:E,COUNTA(Payments!A:A)-16))</f>
        <v>0</v>
      </c>
      <c r="D23" s="60">
        <f>IF(COUNTA(Payments!A:A)&lt;=17,"",INDEX(Payments!G:G,COUNTA(Payments!A:A)-16))</f>
        <v>0</v>
      </c>
      <c r="E23" s="61">
        <f>IF(COUNTA(Payments!A:A)&lt;=17,"",INDEX(Payments!H:H,COUNTA(Payments!A:A)-16))</f>
        <v>0</v>
      </c>
      <c r="F23" s="61" t="str">
        <f>IF(COUNTA(Payments!A:A)&lt;=17,"",INDEX(Payments!J:J,COUNTA(Payments!A:A)-16))</f>
        <v/>
      </c>
      <c r="G23" s="60">
        <f>IF(COUNTA(Payments!A:A)&lt;=17,"",INDEX(Payments!K:K,COUNTA(Payments!A:A)-16))</f>
        <v>0</v>
      </c>
    </row>
    <row r="24" ht="15" customHeight="1">
      <c r="A24" s="27">
        <f>IF(COUNTA(Payments!A:A)&lt;=18,"",INDEX(Payments!B:B,COUNTA(Payments!A:A)-17))</f>
        <v>0</v>
      </c>
      <c r="B24" s="26" t="str">
        <f>IF(COUNTA(Payments!A:A)&lt;=18,"",INDEX(Payments!D:D,COUNTA(Payments!A:A)-17))</f>
        <v/>
      </c>
      <c r="C24" s="26">
        <f>IF(COUNTA(Payments!A:A)&lt;=18,"",INDEX(Payments!E:E,COUNTA(Payments!A:A)-17))</f>
        <v>0</v>
      </c>
      <c r="D24" s="26">
        <f>IF(COUNTA(Payments!A:A)&lt;=18,"",INDEX(Payments!G:G,COUNTA(Payments!A:A)-17))</f>
        <v>0</v>
      </c>
      <c r="E24" s="30">
        <f>IF(COUNTA(Payments!A:A)&lt;=18,"",INDEX(Payments!H:H,COUNTA(Payments!A:A)-17))</f>
        <v>0</v>
      </c>
      <c r="F24" s="30" t="str">
        <f>IF(COUNTA(Payments!A:A)&lt;=18,"",INDEX(Payments!J:J,COUNTA(Payments!A:A)-17))</f>
        <v/>
      </c>
      <c r="G24" s="26">
        <f>IF(COUNTA(Payments!A:A)&lt;=18,"",INDEX(Payments!K:K,COUNTA(Payments!A:A)-17))</f>
        <v>0</v>
      </c>
    </row>
    <row r="25" ht="15" customHeight="1">
      <c r="A25" s="59">
        <f>IF(COUNTA(Payments!A:A)&lt;=19,"",INDEX(Payments!B:B,COUNTA(Payments!A:A)-18))</f>
        <v>0</v>
      </c>
      <c r="B25" s="60" t="str">
        <f>IF(COUNTA(Payments!A:A)&lt;=19,"",INDEX(Payments!D:D,COUNTA(Payments!A:A)-18))</f>
        <v/>
      </c>
      <c r="C25" s="60">
        <f>IF(COUNTA(Payments!A:A)&lt;=19,"",INDEX(Payments!E:E,COUNTA(Payments!A:A)-18))</f>
        <v>0</v>
      </c>
      <c r="D25" s="60">
        <f>IF(COUNTA(Payments!A:A)&lt;=19,"",INDEX(Payments!G:G,COUNTA(Payments!A:A)-18))</f>
        <v>0</v>
      </c>
      <c r="E25" s="61">
        <f>IF(COUNTA(Payments!A:A)&lt;=19,"",INDEX(Payments!H:H,COUNTA(Payments!A:A)-18))</f>
        <v>0</v>
      </c>
      <c r="F25" s="61" t="str">
        <f>IF(COUNTA(Payments!A:A)&lt;=19,"",INDEX(Payments!J:J,COUNTA(Payments!A:A)-18))</f>
        <v/>
      </c>
      <c r="G25" s="60">
        <f>IF(COUNTA(Payments!A:A)&lt;=19,"",INDEX(Payments!K:K,COUNTA(Payments!A:A)-18))</f>
        <v>0</v>
      </c>
    </row>
    <row r="26" ht="15" customHeight="1">
      <c r="A26" s="27">
        <f>IF(COUNTA(Payments!A:A)&lt;=20,"",INDEX(Payments!B:B,COUNTA(Payments!A:A)-19))</f>
        <v>0</v>
      </c>
      <c r="B26" s="26" t="str">
        <f>IF(COUNTA(Payments!A:A)&lt;=20,"",INDEX(Payments!D:D,COUNTA(Payments!A:A)-19))</f>
        <v/>
      </c>
      <c r="C26" s="26">
        <f>IF(COUNTA(Payments!A:A)&lt;=20,"",INDEX(Payments!E:E,COUNTA(Payments!A:A)-19))</f>
        <v>0</v>
      </c>
      <c r="D26" s="26">
        <f>IF(COUNTA(Payments!A:A)&lt;=20,"",INDEX(Payments!G:G,COUNTA(Payments!A:A)-19))</f>
        <v>0</v>
      </c>
      <c r="E26" s="30">
        <f>IF(COUNTA(Payments!A:A)&lt;=20,"",INDEX(Payments!H:H,COUNTA(Payments!A:A)-19))</f>
        <v>0</v>
      </c>
      <c r="F26" s="30" t="str">
        <f>IF(COUNTA(Payments!A:A)&lt;=20,"",INDEX(Payments!J:J,COUNTA(Payments!A:A)-19))</f>
        <v/>
      </c>
      <c r="G26" s="26">
        <f>IF(COUNTA(Payments!A:A)&lt;=20,"",INDEX(Payments!K:K,COUNTA(Payments!A:A)-19))</f>
        <v>0</v>
      </c>
    </row>
    <row r="30" ht="15" customHeight="1">
      <c r="A30" s="62" t="s">
        <v>144</v>
      </c>
    </row>
    <row r="31" ht="15" customHeight="1">
      <c r="A31" s="63" t="s">
        <v>145</v>
      </c>
    </row>
    <row r="33" ht="15" customHeight="1">
      <c r="A33" s="64" t="s">
        <v>146</v>
      </c>
    </row>
    <row r="34" ht="15" customHeight="1">
      <c r="A34" s="64" t="s">
        <v>147</v>
      </c>
    </row>
    <row r="35" ht="15" customHeight="1">
      <c r="A35" s="64" t="s">
        <v>148</v>
      </c>
    </row>
  </sheetData>
  <mergeCells>
    <mergeCell ref="A1:G1"/>
    <mergeCell ref="A30:G30"/>
    <mergeCell ref="A31:G31"/>
    <mergeCell ref="A33:G33"/>
    <mergeCell ref="A34:G34"/>
    <mergeCell ref="A35:G35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A4700E17-27C8-F4D9-9BA8-FB9B1A2166F2}" mc:Ignorable="x14ac xr xr2 xr3">
  <dimension ref="A1:GR1000"/>
  <sheetViews>
    <sheetView topLeftCell="A1" workbookViewId="0">
      <pane ySplit="12" topLeftCell="A13" activePane="bottomLeft" state="frozen"/>
      <selection pane="bottomLeft" activeCell="A13" sqref="A13"/>
    </sheetView>
  </sheetViews>
  <sheetFormatPr defaultRowHeight="15" defaultColWidth="8.8515625" customHeight="1"/>
  <cols>
    <col min="1" max="1" width="51.8515625" customWidth="1"/>
    <col min="2" max="2" width="20.7109375" customWidth="1"/>
    <col min="3" max="3" width="10.421875" customWidth="1"/>
    <col min="4" max="4" width="12.8515625" customWidth="1"/>
    <col min="5" max="5" width="13.7109375" customWidth="1"/>
    <col min="6" max="6" width="22.8515625" customWidth="1"/>
    <col min="7" max="7" width="17.57421875" customWidth="1"/>
    <col min="8" max="8" width="18.8515625" customWidth="1"/>
  </cols>
  <sheetData>
    <row r="1" ht="15" customHeight="1">
      <c r="A1" s="65" t="s">
        <v>149</v>
      </c>
    </row>
    <row r="3" ht="15" customHeight="1">
      <c r="A3" s="66" t="s">
        <v>150</v>
      </c>
      <c r="B3" s="66" t="s">
        <v>151</v>
      </c>
    </row>
    <row r="4" ht="15" customHeight="1">
      <c r="A4" s="20" t="s">
        <v>152</v>
      </c>
      <c r="B4" s="39" t="s">
        <v>153</v>
      </c>
    </row>
    <row r="5" ht="15" customHeight="1">
      <c r="A5" s="20" t="s">
        <v>154</v>
      </c>
      <c r="B5" s="39" t="s">
        <v>155</v>
      </c>
    </row>
    <row r="6" ht="15" customHeight="1">
      <c r="A6" s="20" t="s">
        <v>156</v>
      </c>
      <c r="B6" s="67">
        <v>18.99</v>
      </c>
    </row>
    <row r="7" ht="15" customHeight="1">
      <c r="A7" s="20" t="s">
        <v>157</v>
      </c>
      <c r="B7" s="68">
        <v>2</v>
      </c>
    </row>
    <row r="8" ht="15" customHeight="1">
      <c r="A8" s="20" t="s">
        <v>158</v>
      </c>
      <c r="B8" s="68">
        <v>2</v>
      </c>
    </row>
    <row r="10" ht="15" customHeight="1">
      <c r="A10" s="65" t="s">
        <v>159</v>
      </c>
    </row>
    <row r="12" ht="15" customHeight="1">
      <c r="A12" s="69" t="s">
        <v>52</v>
      </c>
      <c r="B12" s="69" t="s">
        <v>7</v>
      </c>
      <c r="C12" s="69" t="s">
        <v>8</v>
      </c>
      <c r="D12" s="69" t="s">
        <v>10</v>
      </c>
      <c r="E12" s="69" t="s">
        <v>160</v>
      </c>
      <c r="F12" s="69" t="s">
        <v>161</v>
      </c>
      <c r="G12" s="69" t="s">
        <v>162</v>
      </c>
      <c r="H12" s="69" t="s">
        <v>163</v>
      </c>
    </row>
    <row r="13" ht="15" customHeight="1">
      <c r="A13" s="70">
        <v>1</v>
      </c>
      <c r="B13" s="70" t="s">
        <v>13</v>
      </c>
      <c r="C13" s="70" t="s">
        <v>14</v>
      </c>
      <c r="D13" s="71">
        <v>10000</v>
      </c>
      <c r="E13" s="71">
        <v>3250</v>
      </c>
      <c r="F13" s="72">
        <v>0.1999</v>
      </c>
      <c r="G13" s="73">
        <v>15</v>
      </c>
      <c r="H13" s="70">
        <v>2.5</v>
      </c>
    </row>
    <row r="14" ht="15" customHeight="1">
      <c r="A14" s="31">
        <v>2</v>
      </c>
      <c r="B14" s="31" t="s">
        <v>15</v>
      </c>
      <c r="C14" s="31" t="s">
        <v>16</v>
      </c>
      <c r="D14" s="12">
        <v>7500</v>
      </c>
      <c r="E14" s="12">
        <v>1875.5</v>
      </c>
      <c r="F14" s="14">
        <v>0.2149</v>
      </c>
      <c r="G14" s="33">
        <v>22</v>
      </c>
      <c r="H14" s="31">
        <v>3</v>
      </c>
    </row>
    <row r="15" ht="15" customHeight="1">
      <c r="A15" s="70">
        <v>3</v>
      </c>
      <c r="B15" s="70" t="s">
        <v>17</v>
      </c>
      <c r="C15" s="70" t="s">
        <v>18</v>
      </c>
      <c r="D15" s="71">
        <v>5000</v>
      </c>
      <c r="E15" s="71">
        <v>980.75</v>
      </c>
      <c r="F15" s="72">
        <v>0.1699</v>
      </c>
      <c r="G15" s="73">
        <v>8</v>
      </c>
      <c r="H15" s="70">
        <v>25</v>
      </c>
    </row>
    <row r="16" ht="15" customHeight="1">
      <c r="A16" s="31"/>
      <c r="B16" s="31"/>
      <c r="C16" s="31"/>
      <c r="D16" s="34"/>
      <c r="E16" s="34"/>
      <c r="F16" s="74"/>
      <c r="G16" s="33"/>
      <c r="H16" s="31"/>
    </row>
    <row r="17" ht="15" customHeight="1">
      <c r="A17" s="70"/>
      <c r="B17" s="70"/>
      <c r="C17" s="70"/>
      <c r="D17" s="75"/>
      <c r="E17" s="75"/>
      <c r="F17" s="76"/>
      <c r="G17" s="73"/>
      <c r="H17" s="70"/>
    </row>
    <row r="18" ht="15" customHeight="1">
      <c r="A18" s="31"/>
      <c r="B18" s="31"/>
      <c r="C18" s="31"/>
      <c r="D18" s="34"/>
      <c r="E18" s="34"/>
      <c r="F18" s="74"/>
      <c r="G18" s="33"/>
      <c r="H18" s="31"/>
    </row>
    <row r="19" ht="15" customHeight="1">
      <c r="A19" s="70"/>
      <c r="B19" s="70"/>
      <c r="C19" s="70"/>
      <c r="D19" s="75"/>
      <c r="E19" s="75"/>
      <c r="F19" s="76"/>
      <c r="G19" s="73"/>
      <c r="H19" s="70"/>
    </row>
    <row r="20" ht="15" customHeight="1">
      <c r="A20" s="31"/>
      <c r="B20" s="31"/>
      <c r="C20" s="31"/>
      <c r="D20" s="34"/>
      <c r="E20" s="34"/>
      <c r="F20" s="74"/>
      <c r="G20" s="33"/>
      <c r="H20" s="31"/>
    </row>
    <row r="21" ht="15" customHeight="1">
      <c r="A21" s="70"/>
      <c r="B21" s="70"/>
      <c r="C21" s="70"/>
      <c r="D21" s="75"/>
      <c r="E21" s="75"/>
      <c r="F21" s="76"/>
      <c r="G21" s="73"/>
      <c r="H21" s="70"/>
    </row>
    <row r="22" ht="15" customHeight="1">
      <c r="A22" s="31"/>
      <c r="B22" s="31"/>
      <c r="C22" s="31"/>
      <c r="D22" s="34"/>
      <c r="E22" s="34"/>
      <c r="F22" s="74"/>
      <c r="G22" s="33"/>
      <c r="H22" s="31"/>
    </row>
    <row r="23" ht="15" customHeight="1">
      <c r="A23" s="70"/>
      <c r="B23" s="70"/>
      <c r="C23" s="70"/>
      <c r="D23" s="75"/>
      <c r="E23" s="75"/>
      <c r="F23" s="76"/>
      <c r="G23" s="73"/>
      <c r="H23" s="70"/>
    </row>
    <row r="24" ht="15" customHeight="1">
      <c r="A24" s="31"/>
      <c r="B24" s="31"/>
      <c r="C24" s="31"/>
      <c r="D24" s="34"/>
      <c r="E24" s="34"/>
      <c r="F24" s="74"/>
      <c r="G24" s="33"/>
      <c r="H24" s="31"/>
    </row>
    <row r="25" ht="15" customHeight="1">
      <c r="A25" s="70"/>
      <c r="B25" s="70"/>
      <c r="C25" s="70"/>
      <c r="D25" s="75"/>
      <c r="E25" s="75"/>
      <c r="F25" s="76"/>
      <c r="G25" s="73"/>
      <c r="H25" s="70"/>
    </row>
    <row r="26" ht="15" customHeight="1">
      <c r="A26" s="31"/>
      <c r="B26" s="31"/>
      <c r="C26" s="31"/>
      <c r="D26" s="34"/>
      <c r="E26" s="34"/>
      <c r="F26" s="74"/>
      <c r="G26" s="33"/>
      <c r="H26" s="31"/>
    </row>
    <row r="27" ht="15" customHeight="1">
      <c r="A27" s="70"/>
      <c r="B27" s="70"/>
      <c r="C27" s="70"/>
      <c r="D27" s="75"/>
      <c r="E27" s="75"/>
      <c r="F27" s="76"/>
      <c r="G27" s="73"/>
      <c r="H27" s="70"/>
    </row>
    <row r="28" ht="15" customHeight="1">
      <c r="A28" s="31"/>
      <c r="B28" s="31"/>
      <c r="C28" s="31"/>
      <c r="D28" s="34"/>
      <c r="E28" s="34"/>
      <c r="F28" s="74"/>
      <c r="G28" s="33"/>
      <c r="H28" s="31"/>
    </row>
    <row r="29" ht="15" customHeight="1">
      <c r="A29" s="70"/>
      <c r="B29" s="70"/>
      <c r="C29" s="70"/>
      <c r="D29" s="75"/>
      <c r="E29" s="75"/>
      <c r="F29" s="76"/>
      <c r="G29" s="73"/>
      <c r="H29" s="70"/>
    </row>
    <row r="30" ht="15" customHeight="1">
      <c r="A30" s="31"/>
      <c r="B30" s="31"/>
      <c r="C30" s="31"/>
      <c r="D30" s="34"/>
      <c r="E30" s="34"/>
      <c r="F30" s="74"/>
      <c r="G30" s="33"/>
      <c r="H30" s="31"/>
    </row>
    <row r="31" ht="15" customHeight="1">
      <c r="A31" s="70"/>
      <c r="B31" s="70"/>
      <c r="C31" s="70"/>
      <c r="D31" s="75"/>
      <c r="E31" s="75"/>
      <c r="F31" s="76"/>
      <c r="G31" s="73"/>
      <c r="H31" s="70"/>
    </row>
    <row r="32" ht="15" customHeight="1">
      <c r="A32" s="31"/>
      <c r="B32" s="31"/>
      <c r="C32" s="31"/>
      <c r="D32" s="34"/>
      <c r="E32" s="34"/>
      <c r="F32" s="74"/>
      <c r="G32" s="33"/>
      <c r="H32" s="31"/>
    </row>
    <row r="34" ht="15" customHeight="1">
      <c r="A34" s="52" t="s">
        <v>164</v>
      </c>
    </row>
    <row r="35" ht="15" customHeight="1">
      <c r="A35" s="24" t="s">
        <v>165</v>
      </c>
    </row>
    <row r="36" ht="15" customHeight="1">
      <c r="A36" s="24" t="s">
        <v>166</v>
      </c>
    </row>
    <row r="37" ht="15" customHeight="1">
      <c r="A37" s="24" t="s">
        <v>167</v>
      </c>
    </row>
    <row r="38" ht="15" customHeight="1">
      <c r="A38" s="24" t="s">
        <v>168</v>
      </c>
    </row>
    <row r="39" ht="15" customHeight="1">
      <c r="A39" s="24" t="s">
        <v>169</v>
      </c>
    </row>
  </sheetData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r:uid="{7A8D4398-3B07-1428-E4E3-05F3570EEBF8}" mc:Ignorable="x14ac xr xr2 xr3">
  <dimension ref="A1:GR1000"/>
  <sheetViews>
    <sheetView topLeftCell="A1" workbookViewId="0">
      <selection activeCell="A1" sqref="A1:F1"/>
    </sheetView>
  </sheetViews>
  <sheetFormatPr defaultRowHeight="15" defaultColWidth="8.8515625" customHeight="1"/>
  <cols>
    <col min="1" max="1" width="71.421875" customWidth="1"/>
    <col min="2" max="6" width="14.28125" customWidth="1"/>
  </cols>
  <sheetData>
    <row r="1" ht="25.5" customHeight="1">
      <c r="A1" s="77" t="s">
        <v>170</v>
      </c>
    </row>
    <row r="2" ht="15.75" customHeight="1">
      <c r="A2" s="2" t="s">
        <v>171</v>
      </c>
    </row>
    <row r="4" ht="18.75" customHeight="1">
      <c r="A4" s="78" t="s">
        <v>172</v>
      </c>
    </row>
    <row r="6" ht="15" customHeight="1">
      <c r="A6" s="79" t="s">
        <v>173</v>
      </c>
    </row>
    <row r="7" ht="15" customHeight="1">
      <c r="A7" s="80" t="s">
        <v>174</v>
      </c>
    </row>
    <row r="8" ht="15" customHeight="1">
      <c r="A8" s="80" t="s">
        <v>175</v>
      </c>
    </row>
    <row r="9" ht="15" customHeight="1">
      <c r="A9" s="80" t="s">
        <v>176</v>
      </c>
    </row>
    <row r="10" ht="15" customHeight="1">
      <c r="A10" s="80" t="s">
        <v>177</v>
      </c>
    </row>
    <row r="11" ht="15" customHeight="1">
      <c r="A11" s="80" t="s">
        <v>178</v>
      </c>
    </row>
    <row r="12" ht="15" customHeight="1">
      <c r="A12" s="80" t="s">
        <v>179</v>
      </c>
    </row>
    <row r="13" ht="15" customHeight="1">
      <c r="A13" s="80" t="s">
        <v>180</v>
      </c>
    </row>
    <row r="14" ht="15" customHeight="1">
      <c r="A14" s="80" t="s">
        <v>181</v>
      </c>
    </row>
    <row r="15" ht="15" customHeight="1">
      <c r="A15" s="80" t="s">
        <v>182</v>
      </c>
    </row>
    <row r="16" ht="15" customHeight="1">
      <c r="A16" s="80" t="s">
        <v>183</v>
      </c>
    </row>
    <row r="18" ht="15" customHeight="1">
      <c r="A18" s="79" t="s">
        <v>184</v>
      </c>
    </row>
    <row r="19" ht="15" customHeight="1">
      <c r="A19" s="80" t="s">
        <v>185</v>
      </c>
    </row>
    <row r="20" ht="15" customHeight="1">
      <c r="A20" s="80" t="s">
        <v>186</v>
      </c>
    </row>
    <row r="21" ht="15" customHeight="1">
      <c r="A21" s="80" t="s">
        <v>187</v>
      </c>
    </row>
    <row r="22" ht="15" customHeight="1">
      <c r="A22" s="80" t="s">
        <v>188</v>
      </c>
    </row>
    <row r="23" ht="15" customHeight="1">
      <c r="A23" s="80" t="s">
        <v>189</v>
      </c>
    </row>
    <row r="24" ht="15" customHeight="1">
      <c r="A24" s="80" t="s">
        <v>190</v>
      </c>
    </row>
    <row r="25" ht="15" customHeight="1">
      <c r="A25" s="80" t="s">
        <v>191</v>
      </c>
    </row>
    <row r="26" ht="15" customHeight="1">
      <c r="A26" s="80" t="s">
        <v>192</v>
      </c>
    </row>
    <row r="27" ht="15" customHeight="1">
      <c r="A27" s="80" t="s">
        <v>193</v>
      </c>
    </row>
    <row r="28" ht="15" customHeight="1">
      <c r="A28" s="80" t="s">
        <v>194</v>
      </c>
    </row>
    <row r="30" ht="18.75" customHeight="1">
      <c r="A30" s="78" t="s">
        <v>195</v>
      </c>
    </row>
    <row r="32" ht="15.75" customHeight="1">
      <c r="A32" s="81" t="s">
        <v>196</v>
      </c>
    </row>
    <row r="33" ht="15" customHeight="1">
      <c r="A33" s="80" t="s">
        <v>197</v>
      </c>
    </row>
    <row r="34" ht="15" customHeight="1">
      <c r="A34" s="80" t="s">
        <v>198</v>
      </c>
    </row>
    <row r="35" ht="15" customHeight="1">
      <c r="A35" s="80" t="s">
        <v>199</v>
      </c>
    </row>
    <row r="37" ht="15.75" customHeight="1">
      <c r="A37" s="81" t="s">
        <v>200</v>
      </c>
    </row>
    <row r="38" ht="15" customHeight="1">
      <c r="A38" s="80" t="s">
        <v>201</v>
      </c>
    </row>
    <row r="39" ht="15" customHeight="1">
      <c r="A39" s="80" t="s">
        <v>202</v>
      </c>
    </row>
    <row r="40" ht="15" customHeight="1">
      <c r="A40" s="80" t="s">
        <v>203</v>
      </c>
    </row>
    <row r="42" ht="15.75" customHeight="1">
      <c r="A42" s="81" t="s">
        <v>204</v>
      </c>
    </row>
    <row r="43" ht="15" customHeight="1">
      <c r="A43" s="80" t="s">
        <v>205</v>
      </c>
    </row>
    <row r="44" ht="15" customHeight="1">
      <c r="A44" s="80" t="s">
        <v>206</v>
      </c>
    </row>
    <row r="45" ht="15" customHeight="1">
      <c r="A45" s="80" t="s">
        <v>207</v>
      </c>
    </row>
    <row r="47" ht="15.75" customHeight="1">
      <c r="A47" s="81" t="s">
        <v>208</v>
      </c>
    </row>
    <row r="48" ht="15" customHeight="1">
      <c r="A48" s="80" t="s">
        <v>209</v>
      </c>
    </row>
    <row r="49" ht="15" customHeight="1">
      <c r="A49" s="80" t="s">
        <v>210</v>
      </c>
    </row>
    <row r="50" ht="15" customHeight="1">
      <c r="A50" s="80" t="s">
        <v>211</v>
      </c>
    </row>
    <row r="52" ht="15.75" customHeight="1">
      <c r="A52" s="81" t="s">
        <v>212</v>
      </c>
    </row>
    <row r="53" ht="15" customHeight="1">
      <c r="A53" s="80" t="s">
        <v>213</v>
      </c>
    </row>
    <row r="54" ht="15" customHeight="1">
      <c r="A54" s="80" t="s">
        <v>214</v>
      </c>
    </row>
    <row r="55" ht="15" customHeight="1">
      <c r="A55" s="80" t="s">
        <v>215</v>
      </c>
    </row>
    <row r="57" ht="15.75" customHeight="1">
      <c r="A57" s="81" t="s">
        <v>216</v>
      </c>
    </row>
    <row r="58" ht="15" customHeight="1">
      <c r="A58" s="80" t="s">
        <v>217</v>
      </c>
    </row>
    <row r="59" ht="15" customHeight="1">
      <c r="A59" s="80" t="s">
        <v>218</v>
      </c>
    </row>
    <row r="60" ht="15" customHeight="1">
      <c r="A60" s="80" t="s">
        <v>219</v>
      </c>
    </row>
    <row r="62" ht="18.75" customHeight="1">
      <c r="A62" s="78" t="s">
        <v>220</v>
      </c>
    </row>
    <row r="64" ht="15" customHeight="1">
      <c r="A64" s="79" t="s">
        <v>221</v>
      </c>
    </row>
    <row r="65" ht="15" customHeight="1">
      <c r="A65" s="80" t="s">
        <v>222</v>
      </c>
    </row>
    <row r="67" ht="15" customHeight="1">
      <c r="A67" s="79" t="s">
        <v>223</v>
      </c>
    </row>
    <row r="68" ht="15" customHeight="1">
      <c r="A68" s="80" t="s">
        <v>224</v>
      </c>
    </row>
    <row r="70" ht="15" customHeight="1">
      <c r="A70" s="79" t="s">
        <v>225</v>
      </c>
    </row>
    <row r="71" ht="15" customHeight="1">
      <c r="A71" s="80" t="s">
        <v>226</v>
      </c>
    </row>
    <row r="73" ht="15" customHeight="1">
      <c r="A73" s="79" t="s">
        <v>227</v>
      </c>
    </row>
    <row r="74" ht="15" customHeight="1">
      <c r="A74" s="80" t="s">
        <v>228</v>
      </c>
    </row>
    <row r="76" ht="15" customHeight="1">
      <c r="A76" s="79" t="s">
        <v>229</v>
      </c>
    </row>
    <row r="77" ht="15" customHeight="1">
      <c r="A77" s="80" t="s">
        <v>230</v>
      </c>
    </row>
    <row r="79" ht="15" customHeight="1">
      <c r="A79" s="79" t="s">
        <v>231</v>
      </c>
    </row>
    <row r="80" ht="15" customHeight="1">
      <c r="A80" s="80" t="s">
        <v>232</v>
      </c>
    </row>
    <row r="82" ht="15" customHeight="1">
      <c r="A82" s="79" t="s">
        <v>233</v>
      </c>
    </row>
    <row r="83" ht="15" customHeight="1">
      <c r="A83" s="80" t="s">
        <v>234</v>
      </c>
    </row>
    <row r="85" ht="15" customHeight="1">
      <c r="A85" s="79" t="s">
        <v>235</v>
      </c>
    </row>
    <row r="86" ht="15" customHeight="1">
      <c r="A86" s="80" t="s">
        <v>236</v>
      </c>
    </row>
    <row r="88" ht="15" customHeight="1">
      <c r="A88" s="79" t="s">
        <v>237</v>
      </c>
    </row>
    <row r="89" ht="15" customHeight="1">
      <c r="A89" s="80" t="s">
        <v>238</v>
      </c>
    </row>
    <row r="92" ht="18.75" customHeight="1">
      <c r="A92" s="82" t="s">
        <v>239</v>
      </c>
    </row>
    <row r="94" ht="15" customHeight="1">
      <c r="A94" s="80" t="s">
        <v>240</v>
      </c>
    </row>
    <row r="95" ht="15" customHeight="1">
      <c r="A95" s="80" t="s">
        <v>241</v>
      </c>
    </row>
    <row r="96" ht="15" customHeight="1">
      <c r="A96" s="80" t="s">
        <v>242</v>
      </c>
    </row>
    <row r="97" ht="15" customHeight="1">
      <c r="A97" s="80" t="s">
        <v>243</v>
      </c>
    </row>
    <row r="98" ht="15" customHeight="1">
      <c r="A98" s="80" t="s">
        <v>244</v>
      </c>
    </row>
    <row r="99" ht="15" customHeight="1">
      <c r="A99" s="80" t="s">
        <v>245</v>
      </c>
    </row>
    <row r="100" ht="15" customHeight="1">
      <c r="A100" s="80" t="s">
        <v>246</v>
      </c>
    </row>
    <row r="101" ht="15" customHeight="1">
      <c r="A101" s="80" t="s">
        <v>247</v>
      </c>
    </row>
    <row r="102" ht="15" customHeight="1">
      <c r="A102" s="80" t="s">
        <v>248</v>
      </c>
    </row>
    <row r="104" ht="18.75" customHeight="1">
      <c r="A104" s="83" t="s">
        <v>249</v>
      </c>
    </row>
    <row r="106" ht="15" customHeight="1">
      <c r="A106" s="79" t="s">
        <v>250</v>
      </c>
    </row>
    <row r="107" ht="15" customHeight="1">
      <c r="A107" s="80" t="s">
        <v>251</v>
      </c>
    </row>
    <row r="109" ht="15" customHeight="1">
      <c r="A109" s="79" t="s">
        <v>252</v>
      </c>
    </row>
    <row r="110" ht="15" customHeight="1">
      <c r="A110" s="80" t="s">
        <v>253</v>
      </c>
    </row>
    <row r="112" ht="15" customHeight="1">
      <c r="A112" s="79" t="s">
        <v>254</v>
      </c>
    </row>
    <row r="113" ht="15" customHeight="1">
      <c r="A113" s="80" t="s">
        <v>255</v>
      </c>
    </row>
    <row r="115" ht="15" customHeight="1">
      <c r="A115" s="79" t="s">
        <v>256</v>
      </c>
    </row>
    <row r="116" ht="15" customHeight="1">
      <c r="A116" s="80" t="s">
        <v>257</v>
      </c>
    </row>
    <row r="120" ht="18.75" customHeight="1">
      <c r="A120" s="78" t="s">
        <v>258</v>
      </c>
    </row>
    <row r="122" ht="15" customHeight="1">
      <c r="A122" s="79" t="s">
        <v>259</v>
      </c>
    </row>
    <row r="123" ht="15" customHeight="1">
      <c r="A123" s="80" t="s">
        <v>260</v>
      </c>
    </row>
    <row r="124" ht="15" customHeight="1">
      <c r="A124" s="80" t="s">
        <v>261</v>
      </c>
    </row>
    <row r="125" ht="15" customHeight="1">
      <c r="A125" s="80" t="s">
        <v>146</v>
      </c>
    </row>
  </sheetData>
  <mergeCells>
    <mergeCell ref="A1:F1"/>
    <mergeCell ref="A2:F2"/>
    <mergeCell ref="A4:F4"/>
    <mergeCell ref="A6:F6"/>
    <mergeCell ref="A7:F7"/>
    <mergeCell ref="A8:F8"/>
    <mergeCell ref="A9:F9"/>
    <mergeCell ref="A10:F10"/>
    <mergeCell ref="A11:F11"/>
    <mergeCell ref="A12:F12"/>
    <mergeCell ref="A13:F13"/>
    <mergeCell ref="A14:F14"/>
    <mergeCell ref="A15:F15"/>
    <mergeCell ref="A16:F16"/>
    <mergeCell ref="A18:F18"/>
    <mergeCell ref="A19:F19"/>
    <mergeCell ref="A20:F20"/>
    <mergeCell ref="A21:F21"/>
    <mergeCell ref="A22:F22"/>
    <mergeCell ref="A23:F23"/>
    <mergeCell ref="A24:F24"/>
    <mergeCell ref="A25:F25"/>
    <mergeCell ref="A26:F26"/>
    <mergeCell ref="A27:F27"/>
    <mergeCell ref="A28:F28"/>
    <mergeCell ref="A30:F30"/>
    <mergeCell ref="A32:F32"/>
    <mergeCell ref="A33:F33"/>
    <mergeCell ref="A34:F34"/>
    <mergeCell ref="A35:F35"/>
    <mergeCell ref="A37:F37"/>
    <mergeCell ref="A38:F38"/>
    <mergeCell ref="A39:F39"/>
    <mergeCell ref="A40:F40"/>
    <mergeCell ref="A42:F42"/>
    <mergeCell ref="A43:F43"/>
    <mergeCell ref="A44:F44"/>
    <mergeCell ref="A45:F45"/>
    <mergeCell ref="A47:F47"/>
    <mergeCell ref="A48:F48"/>
    <mergeCell ref="A49:F49"/>
    <mergeCell ref="A50:F50"/>
    <mergeCell ref="A52:F52"/>
    <mergeCell ref="A53:F53"/>
    <mergeCell ref="A54:F54"/>
    <mergeCell ref="A55:F55"/>
    <mergeCell ref="A57:F57"/>
    <mergeCell ref="A58:F58"/>
    <mergeCell ref="A59:F59"/>
    <mergeCell ref="A60:F60"/>
    <mergeCell ref="A62:F62"/>
    <mergeCell ref="A64:F64"/>
    <mergeCell ref="A65:F65"/>
    <mergeCell ref="A67:F67"/>
    <mergeCell ref="A68:F68"/>
    <mergeCell ref="A70:F70"/>
    <mergeCell ref="A71:F71"/>
    <mergeCell ref="A73:F73"/>
    <mergeCell ref="A74:F74"/>
    <mergeCell ref="A76:F76"/>
    <mergeCell ref="A77:F77"/>
    <mergeCell ref="A79:F79"/>
    <mergeCell ref="A80:F80"/>
    <mergeCell ref="A82:F82"/>
    <mergeCell ref="A83:F83"/>
    <mergeCell ref="A85:F85"/>
    <mergeCell ref="A86:F86"/>
    <mergeCell ref="A88:F88"/>
    <mergeCell ref="A89:F89"/>
    <mergeCell ref="A92:F92"/>
    <mergeCell ref="A94:F94"/>
    <mergeCell ref="A95:F95"/>
    <mergeCell ref="A96:F96"/>
    <mergeCell ref="A97:F97"/>
    <mergeCell ref="A98:F98"/>
    <mergeCell ref="A99:F99"/>
    <mergeCell ref="A100:F100"/>
    <mergeCell ref="A101:F101"/>
    <mergeCell ref="A102:F102"/>
    <mergeCell ref="A104:F104"/>
    <mergeCell ref="A106:F106"/>
    <mergeCell ref="A107:F107"/>
    <mergeCell ref="A109:F109"/>
    <mergeCell ref="A110:F110"/>
    <mergeCell ref="A112:F112"/>
    <mergeCell ref="A113:F113"/>
    <mergeCell ref="A115:F115"/>
    <mergeCell ref="A116:F116"/>
    <mergeCell ref="A120:F120"/>
    <mergeCell ref="A123:F123"/>
    <mergeCell ref="A124:F124"/>
    <mergeCell ref="A125:F125"/>
  </mergeCells>
  <printOptions/>
  <pageMargins left="0.7" right="0.7" top="0.75" bottom="0.75" header="0.3" footer="0.3"/>
  <pageSetup paperSize="1" orientation="portrait"/>
  <headerFooter>
    <oddHeader>&amp;L&amp;C&amp;R</oddHeader>
    <oddFooter>&amp;L&amp;C&amp;R</oddFooter>
  </headerFooter>
  <extLst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2025-12-25T07:04:57Z</dcterms:created>
</cp:coreProperties>
</file>