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2" tabRatio="1000"/>
  </bookViews>
  <sheets>
    <sheet r:id="rId1" name="Instructions" sheetId="1"/>
    <sheet r:id="rId2" name="Settings" sheetId="2"/>
    <sheet r:id="rId3" name="Transactions" sheetId="3"/>
    <sheet r:id="rId4" name="Monthly Budget" sheetId="4"/>
    <sheet r:id="rId5" name="CardTracker" sheetId="5"/>
    <sheet r:id="rId6" name="Dashboard" sheetId="6"/>
    <sheet r:id="rId7" name="Reports" sheetId="7"/>
    <sheet r:id="rId8" name="Goals" sheetId="8"/>
  </sheets>
  <calcPr calcId="0" iterate="1" iterateCount="1000" iterateDelta="0.01"/>
</workbook>
</file>

<file path=xl/sharedStrings.xml><?xml version="1.0" encoding="utf-8"?>
<sst xmlns="http://schemas.openxmlformats.org/spreadsheetml/2006/main" count="227" uniqueCount="227">
  <si>
    <t>CREDIT CARD BUDGET TEMPLATE</t>
  </si>
  <si>
    <t>Welcome to your Credit Card Budget Template!</t>
  </si>
  <si>
    <t>This comprehensive Excel workbook helps you track credit card spending, manage budgets, monitor card utilization, and achieve financial goals.</t>
  </si>
  <si>
    <t>Getting Started:</t>
  </si>
  <si>
    <t>HOW TO USE THIS FILE</t>
  </si>
  <si>
    <t>Step 1: Configure Your Settings</t>
  </si>
  <si>
    <t xml:space="preserve">   • Navigate to the Settings sheet</t>
  </si>
  <si>
    <t xml:space="preserve">   • Add or modify credit card details (Card Nickname, Bank, Statement Day, Credit Limit)</t>
  </si>
  <si>
    <t xml:space="preserve">   • Customize spending categories to match your lifestyle</t>
  </si>
  <si>
    <t xml:space="preserve">   • Set your preferred currency and date format</t>
  </si>
  <si>
    <t>Sheet Descriptions:</t>
  </si>
  <si>
    <t>Step 2: Set Your Monthly Budget</t>
  </si>
  <si>
    <t xml:space="preserve">   • Go to the Monthly Budget sheet</t>
  </si>
  <si>
    <t xml:space="preserve">   • Enter target spending amounts for each category</t>
  </si>
  <si>
    <t xml:space="preserve">   • Review the Budget vs Actual Analysis to track performance</t>
  </si>
  <si>
    <t>• Dashboard: Visual overview of spending and budget status</t>
  </si>
  <si>
    <t>Step 3: Log Transactions Daily</t>
  </si>
  <si>
    <t xml:space="preserve">   • Open the Transactions sheet after each purchase</t>
  </si>
  <si>
    <t xml:space="preserve">   • Use dropdowns to select Card, Category, and Type</t>
  </si>
  <si>
    <t xml:space="preserve">   • The StatementCycle column auto-populates based on the date</t>
  </si>
  <si>
    <t xml:space="preserve">   • Check the Reconciled box once verified against your statement</t>
  </si>
  <si>
    <t>• Review your Dashboard weekly to track spending patterns</t>
  </si>
  <si>
    <t>Step 4: Monitor Your Dashboard</t>
  </si>
  <si>
    <t xml:space="preserve">   • The Dashboard provides real-time spending insights</t>
  </si>
  <si>
    <t xml:space="preserve">   • Review KPIs: Total Budget, Actual Spend, Remaining Budget</t>
  </si>
  <si>
    <t xml:space="preserve">   • Check Card Utilization to maintain healthy credit scores (keep under 30%)</t>
  </si>
  <si>
    <t xml:space="preserve">   • Analyze visual charts for spending patterns</t>
  </si>
  <si>
    <t>Step 5: Review Reports &amp; Track Goals</t>
  </si>
  <si>
    <t xml:space="preserve">   • Reports sheet shows detailed breakdowns by category, card, and merchant</t>
  </si>
  <si>
    <t xml:space="preserve">   • Goals sheet helps track savings targets and debt payoff timelines</t>
  </si>
  <si>
    <t xml:space="preserve">   • CardTracker monitors individual card balances and utilization rates</t>
  </si>
  <si>
    <t>HOW TO MAKE A COPY AND PROTECT CELLS</t>
  </si>
  <si>
    <t>To Unprotect Formula Cells:</t>
  </si>
  <si>
    <t xml:space="preserve">   1. Go to Review tab &gt; Unprotect Sheet (no password required)</t>
  </si>
  <si>
    <t xml:space="preserve">   2. Select all cells (Ctrl+A)</t>
  </si>
  <si>
    <t xml:space="preserve">   3. Right-click &gt; Format Cells &gt; Protection tab</t>
  </si>
  <si>
    <t xml:space="preserve">   4. Uncheck 'Locked' for input cells, keep checked for formula cells</t>
  </si>
  <si>
    <t xml:space="preserve">   5. Go to Review tab &gt; Protect Sheet</t>
  </si>
  <si>
    <t xml:space="preserve">   6. Uncheck 'Select locked cells' to allow editing input areas only</t>
  </si>
  <si>
    <t>COLOR LEGEND</t>
  </si>
  <si>
    <t>Budget Status:</t>
  </si>
  <si>
    <t>Over Budget &gt;10%</t>
  </si>
  <si>
    <t>Warning: 80-90% Used</t>
  </si>
  <si>
    <t>On Track</t>
  </si>
  <si>
    <t>Card Utilization:</t>
  </si>
  <si>
    <t>&gt;90% - Reduce Immediately</t>
  </si>
  <si>
    <t>80-90% - Caution</t>
  </si>
  <si>
    <t>&lt;30% - Optimal</t>
  </si>
  <si>
    <t>SHEET DESCRIPTIONS</t>
  </si>
  <si>
    <t>• Settings: Configure cards, categories, and preferences</t>
  </si>
  <si>
    <t>• Transactions: Complete transaction log with auto-calculations</t>
  </si>
  <si>
    <t>• Monthly Budget: Set targets and compare against actual spending</t>
  </si>
  <si>
    <t>• CardTracker: Monitor balances and utilization by card</t>
  </si>
  <si>
    <t>• Dashboard: Visual overview with KPIs and interactive charts</t>
  </si>
  <si>
    <t>• Reports: Detailed analysis by category, card, and merchant</t>
  </si>
  <si>
    <t>• Goals: Track savings objectives and debt payoff plans</t>
  </si>
  <si>
    <t>TIPS FOR SUCCESS</t>
  </si>
  <si>
    <t>✓ Record transactions immediately to avoid forgetting purchases</t>
  </si>
  <si>
    <t>✓ Review your Dashboard weekly to catch overspending early</t>
  </si>
  <si>
    <t>✓ Keep credit card utilization below 30% for optimal credit scores</t>
  </si>
  <si>
    <t>✓ Reconcile transactions monthly against official card statements</t>
  </si>
  <si>
    <t>✓ Adjust category budgets quarterly based on actual spending patterns</t>
  </si>
  <si>
    <t>✓ Set up recurring transaction reminders for subscriptions</t>
  </si>
  <si>
    <t>✓ Use the Tag column to mark business expenses or reimbursables</t>
  </si>
  <si>
    <t>DISCLAIMER</t>
  </si>
  <si>
    <t>For personal tracking only. Not financial advice.</t>
  </si>
  <si>
    <t>Free Credit Card Tracker by Credit Card Wind</t>
  </si>
  <si>
    <t>© Credit Card Wind. All rights reserved.</t>
  </si>
  <si>
    <t>SETTINGS</t>
  </si>
  <si>
    <t>General Settings</t>
  </si>
  <si>
    <t>Default Currency:</t>
  </si>
  <si>
    <t>USD</t>
  </si>
  <si>
    <t>Date Format:</t>
  </si>
  <si>
    <t>YYYY-MM-DD</t>
  </si>
  <si>
    <t>Fiscal Month Start:</t>
  </si>
  <si>
    <t>Categories</t>
  </si>
  <si>
    <t>Credit Cards</t>
  </si>
  <si>
    <t>Category</t>
  </si>
  <si>
    <t>Budget Type</t>
  </si>
  <si>
    <t>Card Nickname</t>
  </si>
  <si>
    <t>Issuing Bank</t>
  </si>
  <si>
    <t>Statement Day</t>
  </si>
  <si>
    <t>Credit Limit</t>
  </si>
  <si>
    <t>Groceries</t>
  </si>
  <si>
    <t>Variable</t>
  </si>
  <si>
    <t>Chase Sapphire</t>
  </si>
  <si>
    <t>Chase Bank</t>
  </si>
  <si>
    <t>Dining</t>
  </si>
  <si>
    <t>AmEx Gold</t>
  </si>
  <si>
    <t>American Express</t>
  </si>
  <si>
    <t>Gas &amp; Transport</t>
  </si>
  <si>
    <t>Capital One</t>
  </si>
  <si>
    <t>Entertainment</t>
  </si>
  <si>
    <t>Citi Rewards</t>
  </si>
  <si>
    <t>Citibank</t>
  </si>
  <si>
    <t>Utilities</t>
  </si>
  <si>
    <t>Fixed</t>
  </si>
  <si>
    <t>Subscriptions</t>
  </si>
  <si>
    <t>Shopping</t>
  </si>
  <si>
    <t>Other</t>
  </si>
  <si>
    <t>TRANSACTIONS LOG</t>
  </si>
  <si>
    <t>TxnID</t>
  </si>
  <si>
    <t>Date</t>
  </si>
  <si>
    <t>Card</t>
  </si>
  <si>
    <t>Merchant</t>
  </si>
  <si>
    <t>Description</t>
  </si>
  <si>
    <t>Amount</t>
  </si>
  <si>
    <t>Type</t>
  </si>
  <si>
    <t>StatementCycle</t>
  </si>
  <si>
    <t>Reconciled</t>
  </si>
  <si>
    <t>Tag</t>
  </si>
  <si>
    <t>2025-03-01</t>
  </si>
  <si>
    <t>Whole Foods</t>
  </si>
  <si>
    <t>Weekly grocery shopping</t>
  </si>
  <si>
    <t>Charge</t>
  </si>
  <si>
    <t>2025-03</t>
  </si>
  <si>
    <t>2025-03-02</t>
  </si>
  <si>
    <t>Shell Gas Station</t>
  </si>
  <si>
    <t>Fuel</t>
  </si>
  <si>
    <t>2025-03-03</t>
  </si>
  <si>
    <t>Netflix</t>
  </si>
  <si>
    <t>Monthly streaming</t>
  </si>
  <si>
    <t>Recurring</t>
  </si>
  <si>
    <t>2025-03-05</t>
  </si>
  <si>
    <t>Starbucks</t>
  </si>
  <si>
    <t>Coffee</t>
  </si>
  <si>
    <t>2025-03-06</t>
  </si>
  <si>
    <t>Amazon</t>
  </si>
  <si>
    <t>Home supplies</t>
  </si>
  <si>
    <t>2025-03-07</t>
  </si>
  <si>
    <t>Chipotle</t>
  </si>
  <si>
    <t>Lunch</t>
  </si>
  <si>
    <t>2025-03-08</t>
  </si>
  <si>
    <t>Target</t>
  </si>
  <si>
    <t>Household items</t>
  </si>
  <si>
    <t>2025-03-10</t>
  </si>
  <si>
    <t>Spotify</t>
  </si>
  <si>
    <t>Music streaming</t>
  </si>
  <si>
    <t>2025-03-12</t>
  </si>
  <si>
    <t>Uber Eats</t>
  </si>
  <si>
    <t>Dinner delivery</t>
  </si>
  <si>
    <t>2025-03-14</t>
  </si>
  <si>
    <t>AMC Theaters</t>
  </si>
  <si>
    <t>Movie tickets</t>
  </si>
  <si>
    <t>2025-03-15</t>
  </si>
  <si>
    <t>Trader Joe's</t>
  </si>
  <si>
    <t>Weekly shopping</t>
  </si>
  <si>
    <t>2025-03-16</t>
  </si>
  <si>
    <t>Payment received</t>
  </si>
  <si>
    <t>Payment</t>
  </si>
  <si>
    <t>2025-03-18</t>
  </si>
  <si>
    <t>Chevron</t>
  </si>
  <si>
    <t>2025-03-19</t>
  </si>
  <si>
    <t>Electric Company</t>
  </si>
  <si>
    <t>Monthly electric bill</t>
  </si>
  <si>
    <t>2025-03-21</t>
  </si>
  <si>
    <t>Best Buy</t>
  </si>
  <si>
    <t>Electronics</t>
  </si>
  <si>
    <t>2025-03-22</t>
  </si>
  <si>
    <t>Olive Garden</t>
  </si>
  <si>
    <t>Family dinner</t>
  </si>
  <si>
    <t>2025-03-24</t>
  </si>
  <si>
    <t>Costco</t>
  </si>
  <si>
    <t>Bulk shopping</t>
  </si>
  <si>
    <t>2025-03-26</t>
  </si>
  <si>
    <t>Steam</t>
  </si>
  <si>
    <t>Video games</t>
  </si>
  <si>
    <t>2025-03-28</t>
  </si>
  <si>
    <t>Home Depot</t>
  </si>
  <si>
    <t>Garden supplies</t>
  </si>
  <si>
    <t>2025-03-29</t>
  </si>
  <si>
    <t>Panera Bread</t>
  </si>
  <si>
    <t>Lunch meeting</t>
  </si>
  <si>
    <t>2025-03-30</t>
  </si>
  <si>
    <t>MONTHLY BUDGET</t>
  </si>
  <si>
    <t>Month</t>
  </si>
  <si>
    <t>Budgeted Amount</t>
  </si>
  <si>
    <t>Budget vs Actual Analysis</t>
  </si>
  <si>
    <t>Budgeted</t>
  </si>
  <si>
    <t>Actual</t>
  </si>
  <si>
    <t>Variance</t>
  </si>
  <si>
    <t>% Used</t>
  </si>
  <si>
    <t>TOTAL</t>
  </si>
  <si>
    <t>CARD TRACKER</t>
  </si>
  <si>
    <t>Opening Balance</t>
  </si>
  <si>
    <t>Charges</t>
  </si>
  <si>
    <t>Payments</t>
  </si>
  <si>
    <t>Closing Balance</t>
  </si>
  <si>
    <t>Utilization %</t>
  </si>
  <si>
    <t>2025-03-31</t>
  </si>
  <si>
    <t>TOTALS</t>
  </si>
  <si>
    <t>CREDIT CARD BUDGET DASHBOARD</t>
  </si>
  <si>
    <t>March 2025</t>
  </si>
  <si>
    <t>Total Budget</t>
  </si>
  <si>
    <t>Actual Spend</t>
  </si>
  <si>
    <t>Remaining Budget</t>
  </si>
  <si>
    <t>Avg Daily Spend</t>
  </si>
  <si>
    <t>Total Card Balances</t>
  </si>
  <si>
    <t>Weighted Utilization</t>
  </si>
  <si>
    <t>REPORTS</t>
  </si>
  <si>
    <t>Category Spending Report - March 2025</t>
  </si>
  <si>
    <t>Total Spent</t>
  </si>
  <si>
    <t>% of Budget</t>
  </si>
  <si>
    <t>Card Activity Report - March 2025</t>
  </si>
  <si>
    <t>Transactions</t>
  </si>
  <si>
    <t>Total Charges</t>
  </si>
  <si>
    <t>Avg Transaction</t>
  </si>
  <si>
    <t>Top 10 Merchants - March 2025</t>
  </si>
  <si>
    <t>FINANCIAL GOALS</t>
  </si>
  <si>
    <t>Savings Goals</t>
  </si>
  <si>
    <t>Goal Name</t>
  </si>
  <si>
    <t>Target Amount</t>
  </si>
  <si>
    <t>Current Progress</t>
  </si>
  <si>
    <t>Remaining</t>
  </si>
  <si>
    <t>% Complete</t>
  </si>
  <si>
    <t>Emergency Fund</t>
  </si>
  <si>
    <t>Vacation Fund</t>
  </si>
  <si>
    <t>Home Down Payment</t>
  </si>
  <si>
    <t>Car Purchase</t>
  </si>
  <si>
    <t>Debt Payoff Goals</t>
  </si>
  <si>
    <t>Current Balance</t>
  </si>
  <si>
    <t>Target Payoff Date</t>
  </si>
  <si>
    <t>Monthly Payment</t>
  </si>
  <si>
    <t>Months Remaining</t>
  </si>
  <si>
    <t>2025-12-31</t>
  </si>
  <si>
    <t>2026-06-30</t>
  </si>
  <si>
    <t>2025-09-30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</si>
</sst>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1" formatCode="bold 14pt Aptos Narrow"/>
    <numFmt numFmtId="172" formatCode="bold 12pt Aptos Narrow"/>
    <numFmt numFmtId="178" formatCode="$#,##0"/>
    <numFmt numFmtId="182" formatCode="yyyy-mm-dd"/>
    <numFmt numFmtId="183" formatCode="$#,##0.00"/>
  </numFmts>
  <fonts count="13">
    <font>
      <sz val="11"/>
      <color theme="1"/>
      <name val="Calibri"/>
      <scheme val="minor"/>
    </font>
    <font>
      <b/>
      <i val="0"/>
      <sz val="20"/>
      <color rgb="FFFFFFFF"/>
      <name val="Aptos Narrow"/>
    </font>
    <font>
      <b/>
      <i val="0"/>
      <sz val="14"/>
      <name val="Aptos Narrow"/>
    </font>
    <font>
      <name val="Calibri"/>
      <scheme val="minor"/>
    </font>
    <font>
      <b/>
      <i val="0"/>
      <sz val="12"/>
      <name val="Aptos Narrow"/>
    </font>
    <font>
      <b val="0"/>
      <i/>
      <sz val="12"/>
      <name val="Aptos Narrow"/>
    </font>
    <font>
      <b val="0"/>
      <i/>
      <sz val="9"/>
      <name val="Aptos Narrow"/>
    </font>
    <font>
      <b/>
      <sz val="18"/>
      <color rgb="FFFFFFFF"/>
      <name val="Aptos Narrow"/>
    </font>
    <font>
      <b/>
      <sz val="11"/>
      <name val="Aptos Narrow"/>
    </font>
    <font>
      <b/>
      <sz val="20"/>
      <color rgb="FFFFFFFF"/>
      <name val="Aptos Narrow"/>
    </font>
    <font>
      <b/>
      <sz val="14"/>
      <color rgb="FFFFFFFF"/>
      <name val="Aptos Narrow"/>
    </font>
    <font>
      <b/>
      <sz val="20"/>
      <name val="Aptos Narrow"/>
    </font>
    <font>
      <b/>
      <sz val="20"/>
      <color rgb="FF9C0006"/>
      <name val="Aptos Narrow"/>
    </font>
  </fonts>
  <fills count="10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E7E6E6"/>
      </patternFill>
    </fill>
    <fill>
      <patternFill patternType="solid">
        <fgColor rgb="FF2E75B6"/>
      </patternFill>
    </fill>
    <fill>
      <patternFill patternType="solid">
        <fgColor rgb="FF5B9BD5"/>
      </patternFill>
    </fill>
    <fill>
      <patternFill patternType="solid">
        <fgColor rgb="FFDEEBF7"/>
      </patternFill>
    </fill>
  </fills>
  <borders count="4">
    <border>
      <left/>
      <right/>
      <top/>
      <bottom/>
    </border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top style="medium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numFmtId="0" fontId="0" fillId="0" borderId="1">
      <alignment horizontal="general" vertical="top"/>
    </xf>
  </cellStyleXfs>
  <cellXfs count="29">
    <xf numFmtId="0" fontId="0" fillId="0" borderId="1" xfId="0">
      <alignment vertical="top"/>
    </xf>
    <xf numFmtId="0" fontId="1" fillId="2" borderId="0" xfId="0">
      <alignment horizontal="center" vertical="center"/>
    </xf>
    <xf numFmtId="171" fontId="2" fillId="0" borderId="0" xfId="0">
      <alignment vertical="top"/>
    </xf>
    <xf numFmtId="172" fontId="3" fillId="0" borderId="0" xfId="0">
      <alignment vertical="top"/>
    </xf>
    <xf numFmtId="0" fontId="2" fillId="0" borderId="0" xfId="0">
      <alignment vertical="top"/>
    </xf>
    <xf numFmtId="0" fontId="3" fillId="3" borderId="0" xfId="0">
      <alignment vertical="top"/>
    </xf>
    <xf numFmtId="0" fontId="3" fillId="4" borderId="0" xfId="0">
      <alignment vertical="top"/>
    </xf>
    <xf numFmtId="0" fontId="3" fillId="5" borderId="0" xfId="0">
      <alignment vertical="top"/>
    </xf>
    <xf numFmtId="0" fontId="4" fillId="0" borderId="0" xfId="0">
      <alignment vertical="top"/>
    </xf>
    <xf numFmtId="0" fontId="5" fillId="0" borderId="0" xfId="0">
      <alignment vertical="top"/>
    </xf>
    <xf numFmtId="0" fontId="6" fillId="0" borderId="0" xfId="0">
      <alignment vertical="top"/>
    </xf>
    <xf numFmtId="0" fontId="7" fillId="2" borderId="0" xfId="0">
      <alignment horizontal="center" vertical="center"/>
    </xf>
    <xf numFmtId="171" fontId="3" fillId="0" borderId="0" xfId="0">
      <alignment vertical="top"/>
    </xf>
    <xf numFmtId="49" fontId="3" fillId="0" borderId="0" xfId="0">
      <alignment vertical="top"/>
    </xf>
    <xf numFmtId="3" fontId="3" fillId="0" borderId="0" xfId="0">
      <alignment vertical="top"/>
    </xf>
    <xf numFmtId="0" fontId="8" fillId="6" borderId="0" xfId="0">
      <alignment horizontal="center" vertical="center"/>
    </xf>
    <xf numFmtId="178" fontId="3" fillId="0" borderId="0" xfId="0">
      <alignment vertical="top"/>
    </xf>
    <xf numFmtId="182" fontId="3" fillId="0" borderId="0" xfId="0">
      <alignment vertical="top"/>
    </xf>
    <xf numFmtId="183" fontId="3" fillId="0" borderId="0" xfId="0">
      <alignment vertical="top"/>
    </xf>
    <xf numFmtId="10" fontId="3" fillId="0" borderId="0" xfId="0">
      <alignment vertical="top"/>
    </xf>
    <xf numFmtId="0" fontId="8" fillId="0" borderId="0" xfId="0">
      <alignment vertical="top"/>
    </xf>
    <xf numFmtId="0" fontId="8" fillId="0" borderId="2" xfId="0">
      <alignment vertical="top"/>
    </xf>
    <xf numFmtId="0" fontId="9" fillId="7" borderId="0" xfId="0">
      <alignment horizontal="center" vertical="center"/>
    </xf>
    <xf numFmtId="0" fontId="10" fillId="8" borderId="0" xfId="0">
      <alignment horizontal="center" vertical="center"/>
    </xf>
    <xf numFmtId="0" fontId="8" fillId="9" borderId="3" xfId="0">
      <alignment horizontal="center" vertical="top"/>
    </xf>
    <xf numFmtId="0" fontId="11" fillId="9" borderId="3" xfId="0">
      <alignment horizontal="center" vertical="top"/>
    </xf>
    <xf numFmtId="0" fontId="12" fillId="3" borderId="3" xfId="0">
      <alignment horizontal="center" vertical="top"/>
    </xf>
    <xf numFmtId="49" fontId="2" fillId="0" borderId="0" xfId="0">
      <alignment vertical="top"/>
    </xf>
    <xf numFmtId="0" fontId="4" fillId="6" borderId="0" xfId="0">
      <alignment vertical="top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tyles" Target="styles.xml"/><Relationship Id="rId10" Type="http://schemas.openxmlformats.org/officeDocument/2006/relationships/theme" Target="theme/theme1.xml"/><Relationship Id="rId11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_rels/chart4.xml.rels><?xml version="1.0" encoding="UTF-8" standalone="yes"?>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</Relationships>
</file>

<file path=xl/charts/chart1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Budget vs Actual by Category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barChart chartType="6">
        <c:ser seriesType="0">
          <c:idx val="0"/>
          <c:order val="0"/>
          <c:tx>
            <c:strRef>
              <c:f>Dashboard!$G$4</c:f>
            </c:strRef>
          </c:tx>
          <c:spPr>
            <a:solidFill>
              <a:schemeClr val="accent1"/>
            </a:solidFill>
          </c:spPr>
          <c:cat>
            <c:multiLvlStrRef>
              <c:multiLvlStrCache>
                <c:lvl>
                  <c:pt idx="0">
                    <c:v>1812.04</c:v>
                  </c:pt>
                  <c:pt idx="1">
                    <c:v/>
                  </c:pt>
                  <c:pt idx="2">
                    <c:v/>
                  </c:pt>
                  <c:pt idx="3">
                    <c:v>Total Card Balances</c:v>
                  </c:pt>
                  <c:pt idx="4">
                    <c:v>3762.04</c:v>
                  </c:pt>
                  <c:pt idx="5">
                    <c:v/>
                  </c:pt>
                  <c:pt idx="6">
                    <c:v/>
                  </c:pt>
                  <c:pt idx="7">
                    <c:v/>
                  </c:pt>
                </c:lvl>
                <c:lvl>
                  <c:pt idx="0">
                    <c:v/>
                  </c:pt>
                  <c:pt idx="1">
                    <c:v/>
                  </c:pt>
                  <c:pt idx="2">
                    <c:v/>
                  </c:pt>
                  <c:pt idx="3">
                    <c:v/>
                  </c:pt>
                  <c:pt idx="4">
                    <c:v/>
                  </c:pt>
                  <c:pt idx="5">
                    <c:v/>
                  </c:pt>
                  <c:pt idx="6">
                    <c:v/>
                  </c:pt>
                  <c:pt idx="7">
                    <c:v/>
                  </c:pt>
                </c:lvl>
                <c:ptCount val="8"/>
              </c:multiLvlStrCache>
              <c:f>Dashboard!$E$5:$F$12</c:f>
            </c:multiLvlStrRef>
          </c:cat>
          <c:val>
            <c:numRef>
              <c:f>Dashboard!$G$5:$G$12</c:f>
              <c:numCache>
                <c:formatCode>General</c:formatCode>
              </c:numCache>
            </c:numRef>
          </c:val>
          <c:extLst/>
          <c:invertIfNegative val="0"/>
        </c:ser>
        <c:axId val="53045159"/>
        <c:axId val="86199919"/>
        <c:barDir val="col"/>
        <c:grouping val="clustered"/>
        <c:gapWidth val="150"/>
        <c:varyColors val="0"/>
        <c:overlap val="-27"/>
      </c:barChart>
      <c:catAx axisType="0">
        <c:axId val="53045159"/>
        <c:delete val="0"/>
        <c:majorTickMark val="none"/>
        <c:minorTickMark val="none"/>
        <c:tickLblPos val="nextTo"/>
        <c:axPos val="b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auto val="1"/>
        <c:tickMarkSkip val="1"/>
        <c:noMultiLvlLbl val="0"/>
        <c:crosses val="autoZero"/>
        <c:crossAx val="86199919"/>
      </c:catAx>
      <c:valAx axisType="3">
        <c:axId val="86199919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majorGridlines>
          <c:spPr>
            <a:ln w="9525">
              <a:solidFill>
                <a:srgbClr val="d9d9d9"/>
              </a:solidFill>
            </a:ln>
          </c:spPr>
        </c:majorGridlines>
        <c:crosses val="autoZero"/>
        <c:crossBetween val="between"/>
        <c:crossAx val="53045159"/>
      </c:valAx>
      <c:spPr>
        <a:noFill/>
        <a:ln>
          <a:noFill/>
        </a:ln>
      </c:spPr>
    </c:plotArea>
    <c:legend>
      <c:legendPos val="b"/>
      <c:overlay val="0"/>
      <c:spPr>
        <a:noFill/>
        <a:ln>
          <a:noFill/>
        </a:ln>
      </c:spPr>
      <c:txPr>
        <a:bodyPr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r>
            <a: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rPr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hart2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Card Utilization Rate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barChart chartType="6">
        <c:ser seriesType="0">
          <c:idx val="0"/>
          <c:order val="0"/>
          <c:tx>
            <c:strRef>
              <c:f>Dashboard!$G$3</c:f>
            </c:strRef>
          </c:tx>
          <c:spPr>
            <a:solidFill>
              <a:schemeClr val="accent1"/>
            </a:solidFill>
          </c:spPr>
          <c:cat>
            <c:strRef>
              <c:f>Dashboard!$B$4:$B$7</c:f>
            </c:strRef>
          </c:cat>
          <c:val>
            <c:numRef>
              <c:f>Dashboard!$G$4:$G$7</c:f>
              <c:numCache>
                <c:formatCode>General</c:formatCode>
              </c:numCache>
            </c:numRef>
          </c:val>
          <c:dLbls>
            <c:spPr>
              <a:noFill/>
              <a:ln>
                <a:noFill/>
              </a:ln>
            </c:spPr>
            <c:dLblPos val="outEnd"/>
            <c:showLeaderLines val="0"/>
            <c:showBubbleSize val="0"/>
            <c:showLegendKey val="0"/>
            <c:showPercent val="0"/>
            <c:showCatName val="0"/>
            <c:showSerName val="0"/>
            <c:showVal val="1"/>
            <c:separator>, </c:separator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xtLst/>
          <c:invertIfNegative val="0"/>
        </c:ser>
        <c:axId val="97429836"/>
        <c:axId val="38431763"/>
        <c:barDir val="bar"/>
        <c:grouping val="clustered"/>
        <c:gapWidth val="182"/>
        <c:varyColors val="0"/>
        <c:overlap val="0"/>
      </c:barChart>
      <c:catAx axisType="0">
        <c:axId val="97429836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auto val="1"/>
        <c:lblOffset val="0"/>
        <c:tickMarkSkip val="1"/>
        <c:noMultiLvlLbl val="1"/>
        <c:crosses val="autoZero"/>
        <c:crossAx val="38431763"/>
      </c:catAx>
      <c:valAx axisType="3">
        <c:axId val="38431763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majorGridlines>
          <c:spPr>
            <a:ln w="9525">
              <a:solidFill>
                <a:srgbClr val="d9d9d9"/>
              </a:solidFill>
            </a:ln>
          </c:spPr>
        </c:majorGridlines>
        <c:crosses val="autoZero"/>
        <c:crossBetween val="between"/>
        <c:crossAx val="97429836"/>
      </c:valAx>
      <c:spPr>
        <a:noFill/>
        <a:ln>
          <a:noFill/>
        </a:ln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hart3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March 2025 Spending Distribution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pieChart chartType="10">
        <c:ser seriesType="3">
          <c:dPt>
            <c:idx val="0"/>
            <c:invertIfNegative val="0"/>
            <c:spPr>
              <a:solidFill>
                <a:schemeClr val="accent1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1"/>
            <c:invertIfNegative val="0"/>
            <c:spPr>
              <a:solidFill>
                <a:schemeClr val="accent2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2"/>
            <c:invertIfNegative val="0"/>
            <c:spPr>
              <a:solidFill>
                <a:schemeClr val="accent3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3"/>
            <c:invertIfNegative val="0"/>
            <c:spPr>
              <a:solidFill>
                <a:schemeClr val="accent4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4"/>
            <c:invertIfNegative val="0"/>
            <c:spPr>
              <a:solidFill>
                <a:schemeClr val="accent5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5"/>
            <c:invertIfNegative val="0"/>
            <c:spPr>
              <a:solidFill>
                <a:schemeClr val="accent6"/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dPt>
            <c:idx val="6"/>
            <c:invertIfNegative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rgbClr val="ffffff"/>
                </a:solidFill>
                <a:prstDash val="solid"/>
              </a:ln>
            </c:spPr>
            <c:marker>
              <c:spPr/>
              <c:size val="5"/>
              <c:symbol val="none"/>
            </c:marker>
          </c:dPt>
          <c:idx val="0"/>
          <c:order val="0"/>
          <c:tx>
            <c:strRef>
              <c:f>Dashboard!$B$6</c:f>
            </c:strRef>
          </c:tx>
          <c:spPr>
            <a:ln w="19050">
              <a:solidFill>
                <a:srgbClr val="ffffff"/>
              </a:solidFill>
            </a:ln>
          </c:spPr>
          <c:cat>
            <c:numRef>
              <c:f>Dashboard!$A$7:$A$13</c:f>
              <c:numCache>
                <c:formatCode>General</c:formatCode>
              </c:numCache>
            </c:numRef>
          </c:cat>
          <c:val>
            <c:numRef>
              <c:f>Dashboard!$B$7:$B$13</c:f>
              <c:numCache>
                <c:formatCode>General</c:formatCode>
              </c:numCache>
            </c:numRef>
          </c:val>
          <c:dLbls>
            <c:spPr>
              <a:noFill/>
              <a:ln>
                <a:noFill/>
              </a:ln>
            </c:spPr>
            <c:dLblPos val="outEnd"/>
            <c:showLeaderLines val="1"/>
            <c:showBubbleSize val="0"/>
            <c:showLegendKey val="0"/>
            <c:showPercent val="1"/>
            <c:showCatName val="0"/>
            <c:showSerName val="0"/>
            <c:showVal val="0"/>
            <c:separator>, </c:separator>
            <c:extLst>
              <c:ext xmlns:c15="http://schemas.microsoft.com/office/drawing/2012/chart" uri="{CE6537A1-D6FC-4f65-9D91-7224C49458BB}">
                <c15:showLeaderLines val="1"/>
              </c:ext>
            </c:extLst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</c:spPr>
            </c:leaderLines>
          </c:dLbls>
          <c:extLst/>
          <c:explosion val="0"/>
        </c:ser>
        <c:varyColors val="1"/>
        <c:firstSliceAng val="0"/>
      </c:pieChart>
      <c:spPr>
        <a:noFill/>
        <a:ln>
          <a:noFill/>
        </a:ln>
      </c:spPr>
    </c:plotArea>
    <c:legend>
      <c:legendPos val="r"/>
      <c:overlay val="0"/>
      <c:spPr>
        <a:noFill/>
        <a:ln>
          <a:noFill/>
        </a:ln>
      </c:spPr>
      <c:txPr>
        <a:bodyPr/>
        <a:p>
          <a:pPr>
            <a:def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defRPr>
          </a:pPr>
          <a:r>
            <a:rPr sz="750" b="0">
              <a:solidFill>
                <a:schemeClr val="tx1">
                  <a:lumMod val="65000"/>
                  <a:lumOff val="35000"/>
                </a:schemeClr>
              </a:solidFill>
              <a:latin typeface="Arial"/>
            </a:rPr>
            <a:t/>
          </a:r>
          <a:endParaRPr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hart4.xml><?xml version="1.0" encoding="utf-8"?>
<c:chartSpace xmlns:a="http://schemas.openxmlformats.org/drawingml/2006/main" xmlns:r="http://schemas.openxmlformats.org/officeDocument/2006/relationships" xmlns:c="http://schemas.openxmlformats.org/drawingml/2006/chart" xmlns:c16r2="http://schemas.microsoft.com/office/drawing/2015/06/chart">
  <c:roundedCorners val="0"/>
  <c:chart>
    <c:title>
      <c:tx>
        <c:rich>
          <a:bodyPr/>
          <a:p>
            <a:pPr>
              <a:defRPr sz="1050" b="0">
                <a:solidFill>
                  <a:srgbClr val="333333"/>
                </a:solidFill>
                <a:latin typeface="Arial"/>
              </a:defRPr>
            </a:pPr>
            <a:r>
              <a:rPr sz="1050" b="0">
                <a:solidFill>
                  <a:srgbClr val="333333"/>
                </a:solidFill>
                <a:latin typeface="Arial"/>
              </a:rPr>
              <a:t>Top 10 Merchants</a:t>
            </a:r>
            <a:endParaRPr/>
          </a:p>
        </c:rich>
      </c:tx>
      <c:overlay val="0"/>
      <c:spPr>
        <a:noFill/>
        <a:ln>
          <a:noFill/>
        </a:ln>
      </c:spPr>
    </c:title>
    <c:autoTitleDeleted val="0"/>
    <c:plotArea>
      <c:barChart chartType="6">
        <c:ser seriesType="0">
          <c:idx val="0"/>
          <c:order val="0"/>
          <c:tx>
            <c:strRef>
              <c:f>Dashboard!$B$26</c:f>
            </c:strRef>
          </c:tx>
          <c:spPr>
            <a:solidFill>
              <a:schemeClr val="accent1"/>
            </a:solidFill>
          </c:spPr>
          <c:cat>
            <c:numRef>
              <c:f>Dashboard!$A$27:$A$36</c:f>
              <c:numCache>
                <c:formatCode>General</c:formatCode>
              </c:numCache>
            </c:numRef>
          </c:cat>
          <c:val>
            <c:numRef>
              <c:f>Dashboard!$B$27:$B$36</c:f>
              <c:numCache>
                <c:formatCode>General</c:formatCode>
              </c:numCache>
            </c:numRef>
          </c:val>
          <c:dLbls>
            <c:spPr>
              <a:noFill/>
              <a:ln>
                <a:noFill/>
              </a:ln>
            </c:spPr>
            <c:dLblPos val="outEnd"/>
            <c:showLeaderLines val="0"/>
            <c:showBubbleSize val="0"/>
            <c:showLegendKey val="0"/>
            <c:showPercent val="0"/>
            <c:showCatName val="0"/>
            <c:showSerName val="0"/>
            <c:showVal val="1"/>
            <c:separator>, </c:separator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xtLst/>
          <c:invertIfNegative val="0"/>
        </c:ser>
        <c:axId val="28506240"/>
        <c:axId val="10980877"/>
        <c:barDir val="bar"/>
        <c:grouping val="clustered"/>
        <c:gapWidth val="182"/>
        <c:varyColors val="0"/>
        <c:overlap val="0"/>
      </c:barChart>
      <c:catAx axisType="0">
        <c:axId val="28506240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auto val="1"/>
        <c:lblOffset val="0"/>
        <c:tickMarkSkip val="1"/>
        <c:noMultiLvlLbl val="1"/>
        <c:crosses val="autoZero"/>
        <c:crossAx val="10980877"/>
      </c:catAx>
      <c:valAx axisType="3">
        <c:axId val="10980877"/>
        <c:delete val="0"/>
        <c:majorTickMark val="none"/>
        <c:minorTickMark val="none"/>
        <c:tickLblPos val="nextTo"/>
        <c:axPos val="l"/>
        <c:scaling>
          <c:orientation val="minMax"/>
        </c:scaling>
        <c:spPr>
          <a:ln w="9525">
            <a:solidFill>
              <a:schemeClr val="tx1">
                <a:lumMod val="15000"/>
                <a:lumOff val="85000"/>
              </a:schemeClr>
            </a:solidFill>
          </a:ln>
        </c:spPr>
        <c:numFmt formatCode="General"/>
        <c:txPr>
          <a:bodyPr/>
          <a:p>
            <a:pPr>
              <a:def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defRPr>
            </a:pPr>
            <a:r>
              <a:rPr sz="900" b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/>
            </a:r>
            <a:endParaRPr/>
          </a:p>
        </c:txPr>
        <c:majorGridlines>
          <c:spPr>
            <a:ln w="9525">
              <a:solidFill>
                <a:srgbClr val="d9d9d9"/>
              </a:solidFill>
            </a:ln>
          </c:spPr>
        </c:majorGridlines>
        <c:crosses val="autoZero"/>
        <c:crossBetween val="between"/>
        <c:crossAx val="28506240"/>
      </c:valAx>
      <c:spPr>
        <a:noFill/>
        <a:ln>
          <a:noFill/>
        </a:ln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0"/>
        </c16r3:dataDisplayOptions16>
      </c:ext>
    </c:extLst>
  </c:chart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4"/>
    </mc:Fallback>
  </mc:AlternateContent>
  <c:spPr>
    <a:solidFill>
      <a:schemeClr val="bg1"/>
    </a:solidFill>
    <a:ln w="9525">
      <a:solidFill>
        <a:schemeClr val="tx1">
          <a:lumMod val="15000"/>
          <a:lumOff val="85000"/>
        </a:schemeClr>
      </a:solidFill>
    </a:ln>
  </c:spPr>
  <c:txPr>
    <a:bodyPr/>
    <a:p>
      <a:pPr>
        <a:defRPr b="0">
          <a:solidFill>
            <a:schemeClr val="tx1">
              <a:lumMod val="65000"/>
              <a:lumOff val="35000"/>
            </a:schemeClr>
          </a:solidFill>
          <a:latin typeface="+mn-lt"/>
        </a:defRPr>
      </a:pPr>
      <a:r>
        <a:rPr b="0">
          <a:solidFill>
            <a:schemeClr val="tx1">
              <a:lumMod val="65000"/>
              <a:lumOff val="35000"/>
            </a:schemeClr>
          </a:solidFill>
          <a:latin typeface="+mn-lt"/>
        </a:rPr>
        <a:t/>
      </a:r>
      <a:endParaRPr/>
    </a:p>
  </c:txPr>
</c:chartSpace>
</file>

<file path=xl/charts/colors1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colors2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colors3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colors4.xml><?xml version="1.0" encoding="utf-8"?>
<cs:colorStyle xmlns:a="http://schemas.openxmlformats.org/drawingml/2006/main" xmlns:cs="http://schemas.microsoft.com/office/drawing/2012/chartStyle" meth="cycle" id="10">
  <a:schemeClr val="accent1"/>
  <a:schemeClr val="accent2"/>
  <a:schemeClr val="accent3"/>
  <a:schemeClr val="accent4"/>
  <a:schemeClr val="accent5"/>
  <a:schemeClr val="accent6"/>
  <a:schemeClr val="accent1">
    <a:lumMod val="60000"/>
  </a:schemeClr>
  <a:schemeClr val="accent2">
    <a:lumMod val="60000"/>
  </a:schemeClr>
  <a:schemeClr val="accent3">
    <a:lumMod val="60000"/>
  </a:schemeClr>
  <a:schemeClr val="accent4">
    <a:lumMod val="60000"/>
  </a:schemeClr>
  <a:schemeClr val="accent5">
    <a:lumMod val="60000"/>
  </a:schemeClr>
  <a:schemeClr val="accent6">
    <a:lumMod val="60000"/>
  </a:schemeClr>
  <a:schemeClr val="accent1">
    <a:lumMod val="80000"/>
    <a:lumOff val="20000"/>
  </a:schemeClr>
  <a:schemeClr val="accent2">
    <a:lumMod val="80000"/>
    <a:lumOff val="20000"/>
  </a:schemeClr>
  <a:schemeClr val="accent3">
    <a:lumMod val="80000"/>
    <a:lumOff val="20000"/>
  </a:schemeClr>
  <a:schemeClr val="accent4">
    <a:lumMod val="80000"/>
    <a:lumOff val="20000"/>
  </a:schemeClr>
  <a:schemeClr val="accent5">
    <a:lumMod val="80000"/>
    <a:lumOff val="20000"/>
  </a:schemeClr>
  <a:schemeClr val="accent6">
    <a:lumMod val="80000"/>
    <a:lumOff val="20000"/>
  </a:schemeClr>
  <a:schemeClr val="accent1">
    <a:lumMod val="80000"/>
  </a:schemeClr>
  <a:schemeClr val="accent2">
    <a:lumMod val="80000"/>
  </a:schemeClr>
  <a:schemeClr val="accent3">
    <a:lumMod val="80000"/>
  </a:schemeClr>
  <a:schemeClr val="accent4">
    <a:lumMod val="80000"/>
  </a:schemeClr>
  <a:schemeClr val="accent5">
    <a:lumMod val="80000"/>
  </a:schemeClr>
  <a:schemeClr val="accent6">
    <a:lumMod val="80000"/>
  </a:schemeClr>
  <a:schemeClr val="accent1">
    <a:lumMod val="60000"/>
    <a:lumOff val="40000"/>
  </a:schemeClr>
  <a:schemeClr val="accent2">
    <a:lumMod val="60000"/>
    <a:lumOff val="40000"/>
  </a:schemeClr>
  <a:schemeClr val="accent3">
    <a:lumMod val="60000"/>
    <a:lumOff val="40000"/>
  </a:schemeClr>
  <a:schemeClr val="accent4">
    <a:lumMod val="60000"/>
    <a:lumOff val="40000"/>
  </a:schemeClr>
  <a:schemeClr val="accent5">
    <a:lumMod val="60000"/>
    <a:lumOff val="40000"/>
  </a:schemeClr>
  <a:schemeClr val="accent6">
    <a:lumMod val="60000"/>
    <a:lumOff val="40000"/>
  </a:schemeClr>
  <a:schemeClr val="accent1">
    <a:lumMod val="50000"/>
  </a:schemeClr>
  <a:schemeClr val="accent2">
    <a:lumMod val="50000"/>
  </a:schemeClr>
  <a:schemeClr val="accent3">
    <a:lumMod val="50000"/>
  </a:schemeClr>
  <a:schemeClr val="accent4">
    <a:lumMod val="50000"/>
  </a:schemeClr>
  <a:schemeClr val="accent5">
    <a:lumMod val="50000"/>
  </a:schemeClr>
  <a:schemeClr val="accent6">
    <a:lumMod val="50000"/>
  </a:schemeClr>
  <a:schemeClr val="accent1">
    <a:lumMod val="70000"/>
    <a:lumOff val="30000"/>
  </a:schemeClr>
  <a:schemeClr val="accent2">
    <a:lumMod val="70000"/>
    <a:lumOff val="30000"/>
  </a:schemeClr>
  <a:schemeClr val="accent3">
    <a:lumMod val="70000"/>
    <a:lumOff val="30000"/>
  </a:schemeClr>
  <a:schemeClr val="accent4">
    <a:lumMod val="70000"/>
    <a:lumOff val="30000"/>
  </a:schemeClr>
  <a:schemeClr val="accent5">
    <a:lumMod val="70000"/>
    <a:lumOff val="30000"/>
  </a:schemeClr>
  <a:schemeClr val="accent6">
    <a:lumMod val="70000"/>
    <a:lumOff val="30000"/>
  </a:schemeClr>
  <a:schemeClr val="accent1">
    <a:lumMod val="70000"/>
  </a:schemeClr>
  <a:schemeClr val="accent2">
    <a:lumMod val="70000"/>
  </a:schemeClr>
  <a:schemeClr val="accent3">
    <a:lumMod val="70000"/>
  </a:schemeClr>
  <a:schemeClr val="accent4">
    <a:lumMod val="70000"/>
  </a:schemeClr>
  <a:schemeClr val="accent5">
    <a:lumMod val="70000"/>
  </a:schemeClr>
  <a:schemeClr val="accent6">
    <a:lumMod val="70000"/>
  </a:schemeClr>
  <a:schemeClr val="accent1">
    <a:lumMod val="50000"/>
    <a:lumOff val="50000"/>
  </a:schemeClr>
  <a:schemeClr val="accent2">
    <a:lumMod val="50000"/>
    <a:lumOff val="50000"/>
  </a:schemeClr>
  <a:schemeClr val="accent3">
    <a:lumMod val="50000"/>
    <a:lumOff val="50000"/>
  </a:schemeClr>
  <a:schemeClr val="accent4">
    <a:lumMod val="50000"/>
    <a:lumOff val="50000"/>
  </a:schemeClr>
  <a:schemeClr val="accent5">
    <a:lumMod val="50000"/>
    <a:lumOff val="50000"/>
  </a:schemeClr>
  <a:schemeClr val="accent6">
    <a:lumMod val="50000"/>
    <a:lumOff val="50000"/>
  </a:schemeClr>
</cs:colorStyle>
</file>

<file path=xl/charts/style1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9525</xdr:rowOff>
    </xdr:from>
    <xdr:to>
      <xdr:col>7</xdr:col>
      <xdr:colOff>190500</xdr:colOff>
      <xdr:row>25</xdr:row>
      <xdr:rowOff>9525</xdr:rowOff>
    </xdr:to>
    <xdr:graphicFrame>
      <xdr:nvGraphicFramePr>
        <xdr:cNvPr id="2" name="BudgetActualChart"/>
        <xdr:cNvGraphicFramePr>
          <a:graphicFrameLocks noChangeAspect="0"/>
        </xdr:cNvGraphicFramePr>
      </xdr:nvGraphicFramePr>
      <xdr:xfrm>
        <a:off x="0" y="2095500"/>
        <a:ext cx="4762500" cy="28575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381000</xdr:colOff>
      <xdr:row>10</xdr:row>
      <xdr:rowOff>9525</xdr:rowOff>
    </xdr:from>
    <xdr:to>
      <xdr:col>15</xdr:col>
      <xdr:colOff>152400</xdr:colOff>
      <xdr:row>22</xdr:row>
      <xdr:rowOff>104775</xdr:rowOff>
    </xdr:to>
    <xdr:graphicFrame>
      <xdr:nvGraphicFramePr>
        <xdr:cNvPr id="3" name="CardUtilizationChart"/>
        <xdr:cNvGraphicFramePr>
          <a:graphicFrameLocks noChangeAspect="0"/>
        </xdr:cNvGraphicFramePr>
      </xdr:nvGraphicFramePr>
      <xdr:xfrm>
        <a:off x="4953000" y="2095500"/>
        <a:ext cx="4762500" cy="2381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400050</xdr:colOff>
      <xdr:row>23</xdr:row>
      <xdr:rowOff>9525</xdr:rowOff>
    </xdr:from>
    <xdr:to>
      <xdr:col>15</xdr:col>
      <xdr:colOff>171450</xdr:colOff>
      <xdr:row>38</xdr:row>
      <xdr:rowOff>9525</xdr:rowOff>
    </xdr:to>
    <xdr:graphicFrame>
      <xdr:nvGraphicFramePr>
        <xdr:cNvPr id="4" name="SpendingPieChart"/>
        <xdr:cNvGraphicFramePr>
          <a:graphicFrameLocks noChangeAspect="0"/>
        </xdr:cNvGraphicFramePr>
      </xdr:nvGraphicFramePr>
      <xdr:xfrm>
        <a:off x="4972050" y="4572000"/>
        <a:ext cx="4762500" cy="28575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39</xdr:row>
      <xdr:rowOff>9525</xdr:rowOff>
    </xdr:from>
    <xdr:to>
      <xdr:col>7</xdr:col>
      <xdr:colOff>190500</xdr:colOff>
      <xdr:row>51</xdr:row>
      <xdr:rowOff>104775</xdr:rowOff>
    </xdr:to>
    <xdr:graphicFrame>
      <xdr:nvGraphicFramePr>
        <xdr:cNvPr id="5" name="TopMerchantsChart"/>
        <xdr:cNvGraphicFramePr>
          <a:graphicFrameLocks noChangeAspect="0"/>
        </xdr:cNvGraphicFramePr>
      </xdr:nvGraphicFramePr>
      <xdr:xfrm>
        <a:off x="0" y="7620000"/>
        <a:ext cx="4762500" cy="2381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69017D0A-4C38-F1CB-77F3-17361BF37732}" mc:Ignorable="x14ac xr xr2 xr3">
  <dimension ref="A1:GR1000"/>
  <sheetViews>
    <sheetView topLeftCell="A1" workbookViewId="0">
      <selection activeCell="A1" sqref="A1:F1"/>
    </sheetView>
  </sheetViews>
  <sheetFormatPr defaultRowHeight="15" defaultColWidth="8.8515625" customHeight="1"/>
  <cols>
    <col min="1" max="1" width="85.7109375" customWidth="1"/>
  </cols>
  <sheetData>
    <row r="1" ht="25.5" customHeight="1">
      <c r="A1" s="1" t="s">
        <v>0</v>
      </c>
    </row>
    <row r="3" ht="15" customHeight="1">
      <c r="A3" s="2" t="s">
        <v>1</v>
      </c>
    </row>
    <row r="4" ht="15" customHeight="1">
      <c r="A4" t="s">
        <v>2</v>
      </c>
    </row>
    <row r="5" ht="15" customHeight="1">
      <c r="A5" s="3" t="s">
        <v>3</v>
      </c>
    </row>
    <row r="6" ht="15" customHeight="1">
      <c r="A6" s="4" t="s">
        <v>4</v>
      </c>
    </row>
    <row r="7" ht="15" customHeight="1">
      <c r="A7" t="s">
        <v>5</v>
      </c>
    </row>
    <row r="8" ht="15" customHeight="1">
      <c r="A8" t="s">
        <v>6</v>
      </c>
    </row>
    <row r="9" ht="15" customHeight="1">
      <c r="A9" t="s">
        <v>7</v>
      </c>
    </row>
    <row r="10" ht="15" customHeight="1">
      <c r="A10" t="s">
        <v>8</v>
      </c>
    </row>
    <row r="11" ht="15" customHeight="1">
      <c r="A11" t="s">
        <v>9</v>
      </c>
    </row>
    <row r="12" ht="15" customHeight="1">
      <c r="A12" s="3" t="s">
        <v>10</v>
      </c>
    </row>
    <row r="13" ht="15" customHeight="1">
      <c r="A13" t="s">
        <v>11</v>
      </c>
    </row>
    <row r="14" ht="15" customHeight="1">
      <c r="A14" t="s">
        <v>12</v>
      </c>
    </row>
    <row r="15" ht="15" customHeight="1">
      <c r="A15" t="s">
        <v>13</v>
      </c>
    </row>
    <row r="16" ht="15" customHeight="1">
      <c r="A16" t="s">
        <v>14</v>
      </c>
    </row>
    <row r="17" ht="15" customHeight="1">
      <c r="A17" t="s">
        <v>15</v>
      </c>
    </row>
    <row r="18" ht="15" customHeight="1">
      <c r="A18" t="s">
        <v>16</v>
      </c>
    </row>
    <row r="19" ht="15" customHeight="1">
      <c r="A19" t="s">
        <v>17</v>
      </c>
    </row>
    <row r="20" ht="15" customHeight="1">
      <c r="A20" t="s">
        <v>18</v>
      </c>
    </row>
    <row r="21" ht="15" customHeight="1">
      <c r="A21" s="3" t="s">
        <v>19</v>
      </c>
    </row>
    <row r="22" ht="15" customHeight="1">
      <c r="A22" t="s">
        <v>20</v>
      </c>
    </row>
    <row r="23" ht="15" customHeight="1">
      <c r="A23" t="s">
        <v>21</v>
      </c>
    </row>
    <row r="24" ht="15" customHeight="1">
      <c r="A24" t="s">
        <v>22</v>
      </c>
    </row>
    <row r="25" ht="15" customHeight="1">
      <c r="A25" t="s">
        <v>23</v>
      </c>
    </row>
    <row r="26" ht="15" customHeight="1">
      <c r="A26" t="s">
        <v>24</v>
      </c>
    </row>
    <row r="27" ht="15" customHeight="1">
      <c r="A27" t="s">
        <v>25</v>
      </c>
    </row>
    <row r="28" ht="15" customHeight="1">
      <c r="A28" t="s">
        <v>26</v>
      </c>
    </row>
    <row r="30" ht="15" customHeight="1">
      <c r="A30" t="s">
        <v>27</v>
      </c>
    </row>
    <row r="31" ht="15" customHeight="1">
      <c r="A31" t="s">
        <v>28</v>
      </c>
    </row>
    <row r="32" ht="15" customHeight="1">
      <c r="A32" t="s">
        <v>29</v>
      </c>
    </row>
    <row r="33" ht="15" customHeight="1">
      <c r="A33" t="s">
        <v>30</v>
      </c>
    </row>
    <row r="35" ht="15" customHeight="1">
      <c r="A35" s="4" t="s">
        <v>31</v>
      </c>
    </row>
    <row r="36" ht="15" customHeight="1">
      <c r="A36" t="s">
        <v>32</v>
      </c>
    </row>
    <row r="37" ht="15" customHeight="1">
      <c r="A37" t="s">
        <v>33</v>
      </c>
    </row>
    <row r="38" ht="15" customHeight="1">
      <c r="A38" t="s">
        <v>34</v>
      </c>
    </row>
    <row r="39" ht="15" customHeight="1">
      <c r="A39" t="s">
        <v>35</v>
      </c>
    </row>
    <row r="40" ht="15" customHeight="1">
      <c r="A40" t="s">
        <v>36</v>
      </c>
    </row>
    <row r="41" ht="15" customHeight="1">
      <c r="A41" t="s">
        <v>37</v>
      </c>
    </row>
    <row r="42" ht="15" customHeight="1">
      <c r="A42" t="s">
        <v>38</v>
      </c>
    </row>
    <row r="44" ht="15" customHeight="1">
      <c r="A44" s="4" t="s">
        <v>39</v>
      </c>
    </row>
    <row r="45" ht="15" customHeight="1">
      <c r="A45" t="s">
        <v>40</v>
      </c>
      <c r="B45" s="5" t="s">
        <v>41</v>
      </c>
    </row>
    <row r="46" ht="15" customHeight="1">
      <c r="B46" s="6" t="s">
        <v>42</v>
      </c>
    </row>
    <row r="47" ht="15" customHeight="1">
      <c r="B47" s="7" t="s">
        <v>43</v>
      </c>
    </row>
    <row r="49" ht="15" customHeight="1">
      <c r="A49" t="s">
        <v>44</v>
      </c>
      <c r="B49" s="5" t="s">
        <v>45</v>
      </c>
    </row>
    <row r="50" ht="15" customHeight="1">
      <c r="B50" s="6" t="s">
        <v>46</v>
      </c>
    </row>
    <row r="51" ht="15" customHeight="1">
      <c r="B51" s="7" t="s">
        <v>47</v>
      </c>
    </row>
    <row r="54" ht="15" customHeight="1">
      <c r="A54" s="4" t="s">
        <v>48</v>
      </c>
    </row>
    <row r="55" ht="15" customHeight="1">
      <c r="A55" t="s">
        <v>49</v>
      </c>
    </row>
    <row r="56" ht="15" customHeight="1">
      <c r="A56" t="s">
        <v>50</v>
      </c>
    </row>
    <row r="57" ht="15" customHeight="1">
      <c r="A57" t="s">
        <v>51</v>
      </c>
    </row>
    <row r="58" ht="15" customHeight="1">
      <c r="A58" t="s">
        <v>52</v>
      </c>
    </row>
    <row r="59" ht="15" customHeight="1">
      <c r="A59" t="s">
        <v>53</v>
      </c>
    </row>
    <row r="60" ht="15" customHeight="1">
      <c r="A60" t="s">
        <v>54</v>
      </c>
    </row>
    <row r="61" ht="15" customHeight="1">
      <c r="A61" t="s">
        <v>55</v>
      </c>
    </row>
    <row r="63" ht="15" customHeight="1">
      <c r="A63" s="4" t="s">
        <v>56</v>
      </c>
    </row>
    <row r="64" ht="15" customHeight="1">
      <c r="A64" t="s">
        <v>57</v>
      </c>
    </row>
    <row r="65" ht="15" customHeight="1">
      <c r="A65" t="s">
        <v>58</v>
      </c>
    </row>
    <row r="66" ht="15" customHeight="1">
      <c r="A66" t="s">
        <v>59</v>
      </c>
    </row>
    <row r="67" ht="15" customHeight="1">
      <c r="A67" t="s">
        <v>60</v>
      </c>
    </row>
    <row r="68" ht="15" customHeight="1">
      <c r="A68" t="s">
        <v>61</v>
      </c>
    </row>
    <row r="69" ht="15" customHeight="1">
      <c r="A69" t="s">
        <v>62</v>
      </c>
    </row>
    <row r="70" ht="15" customHeight="1">
      <c r="A70" t="s">
        <v>63</v>
      </c>
    </row>
    <row r="73" ht="15" customHeight="1">
      <c r="A73" s="8" t="s">
        <v>64</v>
      </c>
    </row>
    <row r="74" ht="15" customHeight="1">
      <c r="A74" s="9" t="s">
        <v>65</v>
      </c>
    </row>
    <row r="76" ht="15" customHeight="1">
      <c r="A76" s="8" t="s">
        <v>66</v>
      </c>
    </row>
    <row r="77" ht="15" customHeight="1">
      <c r="A77" s="10" t="s">
        <v>67</v>
      </c>
    </row>
  </sheetData>
  <mergeCells>
    <mergeCell ref="A1:F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F78D028-4169-9938-5B0E-119C50886C63}" mc:Ignorable="x14ac xr xr2 xr3">
  <dimension ref="A1:GR1000"/>
  <sheetViews>
    <sheetView topLeftCell="A1" workbookViewId="0">
      <selection activeCell="B4" sqref="B4"/>
    </sheetView>
  </sheetViews>
  <sheetFormatPr defaultRowHeight="15" defaultColWidth="8.8515625" customHeight="1"/>
  <cols>
    <col min="1" max="1" width="21.421875" customWidth="1"/>
    <col min="2" max="2" width="16.421875" customWidth="1"/>
    <col min="3" max="3" width="5.7109375" customWidth="1"/>
    <col min="4" max="5" width="19.28125" customWidth="1"/>
    <col min="6" max="7" width="16.421875" customWidth="1"/>
  </cols>
  <sheetData>
    <row r="1" ht="22.5" customHeight="1">
      <c r="A1" s="11" t="s">
        <v>68</v>
      </c>
    </row>
    <row r="3" ht="15" customHeight="1">
      <c r="A3" s="12" t="s">
        <v>69</v>
      </c>
    </row>
    <row r="4" ht="15" customHeight="1">
      <c r="A4" t="s">
        <v>70</v>
      </c>
      <c r="B4" s="13" t="s">
        <v>71</v>
      </c>
    </row>
    <row r="5" ht="15" customHeight="1">
      <c r="A5" t="s">
        <v>72</v>
      </c>
      <c r="B5" s="13" t="s">
        <v>73</v>
      </c>
    </row>
    <row r="6" ht="15" customHeight="1">
      <c r="A6" t="s">
        <v>74</v>
      </c>
      <c r="B6" s="14">
        <v>1</v>
      </c>
    </row>
    <row r="8" ht="15" customHeight="1">
      <c r="A8" s="12" t="s">
        <v>75</v>
      </c>
      <c r="D8" s="12" t="s">
        <v>76</v>
      </c>
    </row>
    <row r="9" ht="15" customHeight="1">
      <c r="A9" s="15" t="s">
        <v>77</v>
      </c>
      <c r="B9" s="15" t="s">
        <v>78</v>
      </c>
      <c r="D9" s="15" t="s">
        <v>79</v>
      </c>
      <c r="E9" s="15" t="s">
        <v>80</v>
      </c>
      <c r="F9" s="15" t="s">
        <v>81</v>
      </c>
      <c r="G9" s="15" t="s">
        <v>82</v>
      </c>
    </row>
    <row r="10" ht="15" customHeight="1">
      <c r="A10" t="s">
        <v>83</v>
      </c>
      <c r="B10" t="s">
        <v>84</v>
      </c>
      <c r="D10" t="s">
        <v>85</v>
      </c>
      <c r="E10" t="s">
        <v>86</v>
      </c>
      <c r="F10">
        <v>15</v>
      </c>
      <c r="G10" s="16">
        <v>10000</v>
      </c>
    </row>
    <row r="11" ht="15" customHeight="1">
      <c r="A11" t="s">
        <v>87</v>
      </c>
      <c r="B11" t="s">
        <v>84</v>
      </c>
      <c r="D11" t="s">
        <v>88</v>
      </c>
      <c r="E11" t="s">
        <v>89</v>
      </c>
      <c r="F11">
        <v>3</v>
      </c>
      <c r="G11" s="16">
        <v>15000</v>
      </c>
    </row>
    <row r="12" ht="15" customHeight="1">
      <c r="A12" t="s">
        <v>90</v>
      </c>
      <c r="B12" t="s">
        <v>84</v>
      </c>
      <c r="D12" t="s">
        <v>91</v>
      </c>
      <c r="E12" t="s">
        <v>91</v>
      </c>
      <c r="F12">
        <v>21</v>
      </c>
      <c r="G12" s="16">
        <v>8000</v>
      </c>
    </row>
    <row r="13" ht="15" customHeight="1">
      <c r="A13" t="s">
        <v>92</v>
      </c>
      <c r="B13" t="s">
        <v>84</v>
      </c>
      <c r="D13" t="s">
        <v>93</v>
      </c>
      <c r="E13" t="s">
        <v>94</v>
      </c>
      <c r="F13">
        <v>28</v>
      </c>
      <c r="G13" s="16">
        <v>12000</v>
      </c>
    </row>
    <row r="14" ht="15" customHeight="1">
      <c r="A14" t="s">
        <v>95</v>
      </c>
      <c r="B14" t="s">
        <v>96</v>
      </c>
    </row>
    <row r="15" ht="15" customHeight="1">
      <c r="A15" t="s">
        <v>97</v>
      </c>
      <c r="B15" t="s">
        <v>96</v>
      </c>
    </row>
    <row r="16" ht="15" customHeight="1">
      <c r="A16" t="s">
        <v>98</v>
      </c>
      <c r="B16" t="s">
        <v>84</v>
      </c>
    </row>
    <row r="17" ht="15" customHeight="1">
      <c r="A17" t="s">
        <v>99</v>
      </c>
      <c r="B17" t="s">
        <v>84</v>
      </c>
    </row>
  </sheetData>
  <mergeCells>
    <mergeCell ref="A1:D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2E79998-01B8-1EA8-C5F6-39A6B69EEBF5}" mc:Ignorable="x14ac xr xr2 xr3">
  <dimension ref="A1:GR1000"/>
  <sheetViews>
    <sheetView topLeftCell="A1" workbookViewId="0" tabSelected="1">
      <selection activeCell="C4" sqref="C4"/>
    </sheetView>
  </sheetViews>
  <sheetFormatPr defaultRowHeight="15" defaultColWidth="8.8515625" customHeight="1"/>
  <cols>
    <col min="1" max="1" width="8.57421875" customWidth="1"/>
    <col min="2" max="2" width="12.8515625" customWidth="1"/>
    <col min="3" max="3" width="16.421875" customWidth="1"/>
    <col min="4" max="4" width="21.421875" customWidth="1"/>
    <col min="5" max="5" width="16.421875" customWidth="1"/>
    <col min="6" max="6" width="27.140625" customWidth="1"/>
    <col min="7" max="8" width="12.8515625" customWidth="1"/>
    <col min="9" max="9" width="16.421875" customWidth="1"/>
    <col min="10" max="11" width="12.8515625" customWidth="1"/>
  </cols>
  <sheetData>
    <row r="1" ht="22.5" customHeight="1">
      <c r="A1" s="11" t="s">
        <v>100</v>
      </c>
    </row>
    <row r="3" ht="15" customHeight="1">
      <c r="A3" s="15" t="s">
        <v>101</v>
      </c>
      <c r="B3" s="15" t="s">
        <v>102</v>
      </c>
      <c r="C3" s="15" t="s">
        <v>103</v>
      </c>
      <c r="D3" s="15" t="s">
        <v>104</v>
      </c>
      <c r="E3" s="15" t="s">
        <v>77</v>
      </c>
      <c r="F3" s="15" t="s">
        <v>105</v>
      </c>
      <c r="G3" s="15" t="s">
        <v>106</v>
      </c>
      <c r="H3" s="15" t="s">
        <v>107</v>
      </c>
      <c r="I3" s="15" t="s">
        <v>108</v>
      </c>
      <c r="J3" s="15" t="s">
        <v>109</v>
      </c>
      <c r="K3" s="15" t="s">
        <v>110</v>
      </c>
    </row>
    <row r="4" ht="15" customHeight="1">
      <c r="A4">
        <v>1</v>
      </c>
      <c r="B4" s="17" t="s">
        <v>111</v>
      </c>
      <c r="C4" t="s">
        <v>85</v>
      </c>
      <c r="D4" t="s">
        <v>112</v>
      </c>
      <c r="E4" t="s">
        <v>83</v>
      </c>
      <c r="F4" t="s">
        <v>113</v>
      </c>
      <c r="G4" s="18">
        <v>156.78</v>
      </c>
      <c r="H4" t="s">
        <v>114</v>
      </c>
      <c r="I4" t="str">
        <f t="shared" si="0" ref="I4:I24">TEXT(B4,"YYYY-MM")</f>
        <v>2025-03</v>
      </c>
    </row>
    <row r="5" ht="15" customHeight="1">
      <c r="A5">
        <v>2</v>
      </c>
      <c r="B5" s="17" t="s">
        <v>116</v>
      </c>
      <c r="C5" t="s">
        <v>88</v>
      </c>
      <c r="D5" t="s">
        <v>117</v>
      </c>
      <c r="E5" t="s">
        <v>90</v>
      </c>
      <c r="F5" t="s">
        <v>118</v>
      </c>
      <c r="G5" s="18">
        <v>52.34</v>
      </c>
      <c r="H5" t="s">
        <v>114</v>
      </c>
      <c r="I5" t="str">
        <f t="shared" si="0"/>
        <v>2025-03</v>
      </c>
      <c r="J5" t="b">
        <v>1</v>
      </c>
    </row>
    <row r="6" ht="15" customHeight="1">
      <c r="A6">
        <v>3</v>
      </c>
      <c r="B6" s="17" t="s">
        <v>119</v>
      </c>
      <c r="C6" t="s">
        <v>91</v>
      </c>
      <c r="D6" t="s">
        <v>120</v>
      </c>
      <c r="E6" t="s">
        <v>97</v>
      </c>
      <c r="F6" t="s">
        <v>121</v>
      </c>
      <c r="G6" s="18">
        <v>15.99</v>
      </c>
      <c r="H6" t="s">
        <v>114</v>
      </c>
      <c r="I6" t="str">
        <f t="shared" si="0"/>
        <v>2025-03</v>
      </c>
      <c r="J6" t="b">
        <v>1</v>
      </c>
      <c r="K6" t="s">
        <v>122</v>
      </c>
    </row>
    <row r="7" ht="15" customHeight="1">
      <c r="A7">
        <v>4</v>
      </c>
      <c r="B7" s="17" t="s">
        <v>123</v>
      </c>
      <c r="C7" t="s">
        <v>85</v>
      </c>
      <c r="D7" t="s">
        <v>124</v>
      </c>
      <c r="E7" t="s">
        <v>87</v>
      </c>
      <c r="F7" t="s">
        <v>125</v>
      </c>
      <c r="G7" s="18">
        <v>8.45</v>
      </c>
      <c r="H7" t="s">
        <v>114</v>
      </c>
      <c r="I7" t="str">
        <f t="shared" si="0"/>
        <v>2025-03</v>
      </c>
      <c r="J7" t="b">
        <v>1</v>
      </c>
    </row>
    <row r="8" ht="15" customHeight="1">
      <c r="A8">
        <v>5</v>
      </c>
      <c r="B8" s="17" t="s">
        <v>126</v>
      </c>
      <c r="C8" t="s">
        <v>93</v>
      </c>
      <c r="D8" t="s">
        <v>127</v>
      </c>
      <c r="E8" t="s">
        <v>98</v>
      </c>
      <c r="F8" t="s">
        <v>128</v>
      </c>
      <c r="G8" s="18">
        <v>234.67</v>
      </c>
      <c r="H8" t="s">
        <v>114</v>
      </c>
      <c r="I8" t="str">
        <f t="shared" si="0"/>
        <v>2025-03</v>
      </c>
    </row>
    <row r="9" ht="15" customHeight="1">
      <c r="A9">
        <v>6</v>
      </c>
      <c r="B9" s="17" t="s">
        <v>129</v>
      </c>
      <c r="C9" t="s">
        <v>88</v>
      </c>
      <c r="D9" t="s">
        <v>130</v>
      </c>
      <c r="E9" t="s">
        <v>87</v>
      </c>
      <c r="F9" t="s">
        <v>131</v>
      </c>
      <c r="G9" s="18">
        <v>14.89</v>
      </c>
      <c r="H9" t="s">
        <v>114</v>
      </c>
      <c r="I9" t="str">
        <f t="shared" si="0"/>
        <v>2025-03</v>
      </c>
      <c r="J9" t="b">
        <v>1</v>
      </c>
    </row>
    <row r="10" ht="15" customHeight="1">
      <c r="A10">
        <v>7</v>
      </c>
      <c r="B10" s="17" t="s">
        <v>132</v>
      </c>
      <c r="C10" t="s">
        <v>85</v>
      </c>
      <c r="D10" t="s">
        <v>133</v>
      </c>
      <c r="E10" t="s">
        <v>83</v>
      </c>
      <c r="F10" t="s">
        <v>134</v>
      </c>
      <c r="G10" s="18">
        <v>89.23</v>
      </c>
      <c r="H10" t="s">
        <v>114</v>
      </c>
      <c r="I10" t="str">
        <f t="shared" si="0"/>
        <v>2025-03</v>
      </c>
      <c r="J10" t="b">
        <v>1</v>
      </c>
    </row>
    <row r="11" ht="15" customHeight="1">
      <c r="A11">
        <v>8</v>
      </c>
      <c r="B11" s="17" t="s">
        <v>135</v>
      </c>
      <c r="C11" t="s">
        <v>91</v>
      </c>
      <c r="D11" t="s">
        <v>136</v>
      </c>
      <c r="E11" t="s">
        <v>97</v>
      </c>
      <c r="F11" t="s">
        <v>137</v>
      </c>
      <c r="G11" s="18">
        <v>10.99</v>
      </c>
      <c r="H11" t="s">
        <v>114</v>
      </c>
      <c r="I11" t="str">
        <f t="shared" si="0"/>
        <v>2025-03</v>
      </c>
      <c r="J11" t="b">
        <v>1</v>
      </c>
      <c r="K11" t="s">
        <v>122</v>
      </c>
    </row>
    <row r="12" ht="15" customHeight="1">
      <c r="A12">
        <v>9</v>
      </c>
      <c r="B12" s="17" t="s">
        <v>138</v>
      </c>
      <c r="C12" t="s">
        <v>88</v>
      </c>
      <c r="D12" t="s">
        <v>139</v>
      </c>
      <c r="E12" t="s">
        <v>87</v>
      </c>
      <c r="F12" t="s">
        <v>140</v>
      </c>
      <c r="G12" s="18">
        <v>45.23</v>
      </c>
      <c r="H12" t="s">
        <v>114</v>
      </c>
      <c r="I12" t="str">
        <f t="shared" si="0"/>
        <v>2025-03</v>
      </c>
    </row>
    <row r="13" ht="15" customHeight="1">
      <c r="A13">
        <v>10</v>
      </c>
      <c r="B13" s="17" t="s">
        <v>141</v>
      </c>
      <c r="C13" t="s">
        <v>93</v>
      </c>
      <c r="D13" t="s">
        <v>142</v>
      </c>
      <c r="E13" t="s">
        <v>92</v>
      </c>
      <c r="F13" t="s">
        <v>143</v>
      </c>
      <c r="G13" s="18">
        <v>32</v>
      </c>
      <c r="H13" t="s">
        <v>114</v>
      </c>
      <c r="I13" t="str">
        <f t="shared" si="0"/>
        <v>2025-03</v>
      </c>
      <c r="J13" t="b">
        <v>1</v>
      </c>
    </row>
    <row r="14" ht="15" customHeight="1">
      <c r="A14">
        <v>11</v>
      </c>
      <c r="B14" s="17" t="s">
        <v>144</v>
      </c>
      <c r="C14" t="s">
        <v>85</v>
      </c>
      <c r="D14" t="s">
        <v>145</v>
      </c>
      <c r="E14" t="s">
        <v>83</v>
      </c>
      <c r="F14" t="s">
        <v>146</v>
      </c>
      <c r="G14" s="18">
        <v>112.45</v>
      </c>
      <c r="H14" t="s">
        <v>114</v>
      </c>
      <c r="I14" t="str">
        <f t="shared" si="0"/>
        <v>2025-03</v>
      </c>
      <c r="J14" t="b">
        <v>1</v>
      </c>
    </row>
    <row r="15" ht="15" customHeight="1">
      <c r="A15">
        <v>12</v>
      </c>
      <c r="B15" s="17" t="s">
        <v>147</v>
      </c>
      <c r="C15" t="s">
        <v>85</v>
      </c>
      <c r="D15" t="s">
        <v>86</v>
      </c>
      <c r="E15" t="s">
        <v>99</v>
      </c>
      <c r="F15" t="s">
        <v>148</v>
      </c>
      <c r="G15" s="18">
        <v>-500</v>
      </c>
      <c r="H15" t="s">
        <v>149</v>
      </c>
      <c r="I15" t="str">
        <f t="shared" si="0"/>
        <v>2025-03</v>
      </c>
      <c r="J15" t="b">
        <v>1</v>
      </c>
    </row>
    <row r="16" ht="15" customHeight="1">
      <c r="A16">
        <v>13</v>
      </c>
      <c r="B16" s="17" t="s">
        <v>150</v>
      </c>
      <c r="C16" t="s">
        <v>88</v>
      </c>
      <c r="D16" t="s">
        <v>151</v>
      </c>
      <c r="E16" t="s">
        <v>90</v>
      </c>
      <c r="F16" t="s">
        <v>118</v>
      </c>
      <c r="G16" s="18">
        <v>58.9</v>
      </c>
      <c r="H16" t="s">
        <v>114</v>
      </c>
      <c r="I16" t="str">
        <f t="shared" si="0"/>
        <v>2025-03</v>
      </c>
      <c r="J16" t="b">
        <v>1</v>
      </c>
    </row>
    <row r="17" ht="15" customHeight="1">
      <c r="A17">
        <v>14</v>
      </c>
      <c r="B17" s="17" t="s">
        <v>152</v>
      </c>
      <c r="C17" t="s">
        <v>91</v>
      </c>
      <c r="D17" t="s">
        <v>153</v>
      </c>
      <c r="E17" t="s">
        <v>95</v>
      </c>
      <c r="F17" t="s">
        <v>154</v>
      </c>
      <c r="G17" s="18">
        <v>125.67</v>
      </c>
      <c r="H17" t="s">
        <v>114</v>
      </c>
      <c r="I17" t="str">
        <f t="shared" si="0"/>
        <v>2025-03</v>
      </c>
      <c r="K17" t="s">
        <v>122</v>
      </c>
    </row>
    <row r="18" ht="15" customHeight="1">
      <c r="A18">
        <v>15</v>
      </c>
      <c r="B18" s="17" t="s">
        <v>155</v>
      </c>
      <c r="C18" t="s">
        <v>93</v>
      </c>
      <c r="D18" t="s">
        <v>156</v>
      </c>
      <c r="E18" t="s">
        <v>98</v>
      </c>
      <c r="F18" t="s">
        <v>157</v>
      </c>
      <c r="G18" s="18">
        <v>299.99</v>
      </c>
      <c r="H18" t="s">
        <v>114</v>
      </c>
      <c r="I18" t="str">
        <f t="shared" si="0"/>
        <v>2025-03</v>
      </c>
    </row>
    <row r="19" ht="15" customHeight="1">
      <c r="A19">
        <v>16</v>
      </c>
      <c r="B19" s="17" t="s">
        <v>158</v>
      </c>
      <c r="C19" t="s">
        <v>85</v>
      </c>
      <c r="D19" t="s">
        <v>159</v>
      </c>
      <c r="E19" t="s">
        <v>87</v>
      </c>
      <c r="F19" t="s">
        <v>160</v>
      </c>
      <c r="G19" s="18">
        <v>78.34</v>
      </c>
      <c r="H19" t="s">
        <v>114</v>
      </c>
      <c r="I19" t="str">
        <f t="shared" si="0"/>
        <v>2025-03</v>
      </c>
      <c r="J19" t="b">
        <v>1</v>
      </c>
    </row>
    <row r="20" ht="15" customHeight="1">
      <c r="A20">
        <v>17</v>
      </c>
      <c r="B20" s="17" t="s">
        <v>161</v>
      </c>
      <c r="C20" t="s">
        <v>88</v>
      </c>
      <c r="D20" t="s">
        <v>162</v>
      </c>
      <c r="E20" t="s">
        <v>83</v>
      </c>
      <c r="F20" t="s">
        <v>163</v>
      </c>
      <c r="G20" s="18">
        <v>187.56</v>
      </c>
      <c r="H20" t="s">
        <v>114</v>
      </c>
      <c r="I20" t="str">
        <f t="shared" si="0"/>
        <v>2025-03</v>
      </c>
    </row>
    <row r="21" ht="15" customHeight="1">
      <c r="A21">
        <v>18</v>
      </c>
      <c r="B21" s="17" t="s">
        <v>164</v>
      </c>
      <c r="C21" t="s">
        <v>91</v>
      </c>
      <c r="D21" t="s">
        <v>165</v>
      </c>
      <c r="E21" t="s">
        <v>92</v>
      </c>
      <c r="F21" t="s">
        <v>166</v>
      </c>
      <c r="G21" s="18">
        <v>59.99</v>
      </c>
      <c r="H21" t="s">
        <v>114</v>
      </c>
      <c r="I21" t="str">
        <f t="shared" si="0"/>
        <v>2025-03</v>
      </c>
      <c r="J21" t="b">
        <v>1</v>
      </c>
    </row>
    <row r="22" ht="15" customHeight="1">
      <c r="A22">
        <v>19</v>
      </c>
      <c r="B22" s="17" t="s">
        <v>167</v>
      </c>
      <c r="C22" t="s">
        <v>93</v>
      </c>
      <c r="D22" t="s">
        <v>168</v>
      </c>
      <c r="E22" t="s">
        <v>98</v>
      </c>
      <c r="F22" t="s">
        <v>169</v>
      </c>
      <c r="G22" s="18">
        <v>145.78</v>
      </c>
      <c r="H22" t="s">
        <v>114</v>
      </c>
      <c r="I22" t="str">
        <f t="shared" si="0"/>
        <v>2025-03</v>
      </c>
    </row>
    <row r="23" ht="15" customHeight="1">
      <c r="A23">
        <v>20</v>
      </c>
      <c r="B23" s="17" t="s">
        <v>170</v>
      </c>
      <c r="C23" t="s">
        <v>85</v>
      </c>
      <c r="D23" t="s">
        <v>171</v>
      </c>
      <c r="E23" t="s">
        <v>87</v>
      </c>
      <c r="F23" t="s">
        <v>172</v>
      </c>
      <c r="G23" s="18">
        <v>28.67</v>
      </c>
      <c r="H23" t="s">
        <v>114</v>
      </c>
      <c r="I23" t="str">
        <f t="shared" si="0"/>
        <v>2025-03</v>
      </c>
      <c r="J23" t="b">
        <v>1</v>
      </c>
    </row>
    <row r="24" ht="15" customHeight="1">
      <c r="A24">
        <v>21</v>
      </c>
      <c r="B24" s="17" t="s">
        <v>173</v>
      </c>
      <c r="C24" t="s">
        <v>88</v>
      </c>
      <c r="D24" t="s">
        <v>117</v>
      </c>
      <c r="E24" t="s">
        <v>90</v>
      </c>
      <c r="F24" t="s">
        <v>118</v>
      </c>
      <c r="G24" s="18">
        <v>54.12</v>
      </c>
      <c r="H24" t="s">
        <v>114</v>
      </c>
      <c r="I24" t="str">
        <f t="shared" si="0"/>
        <v>2025-03</v>
      </c>
      <c r="J24" t="b">
        <v>1</v>
      </c>
    </row>
  </sheetData>
  <mergeCells>
    <mergeCell ref="A1:K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62D6778-59C8-3C67-89A8-ACCD71AD05C8}" mc:Ignorable="x14ac xr xr2 xr3">
  <dimension ref="A1:GR1000"/>
  <sheetViews>
    <sheetView topLeftCell="D1" workbookViewId="0">
      <selection activeCell="H5" sqref="H5"/>
    </sheetView>
  </sheetViews>
  <sheetFormatPr defaultRowHeight="15" defaultColWidth="8.8515625" customHeight="1"/>
  <cols>
    <col min="1" max="1" width="12.8515625" customWidth="1"/>
    <col min="2" max="2" width="21.421875" customWidth="1"/>
    <col min="3" max="3" width="19.28125" customWidth="1"/>
    <col min="4" max="4" width="5.7109375" customWidth="1"/>
    <col min="5" max="5" width="21.421875" customWidth="1"/>
    <col min="6" max="8" width="16.421875" customWidth="1"/>
    <col min="9" max="9" width="12.8515625" customWidth="1"/>
  </cols>
  <sheetData>
    <row r="1" ht="22.5" customHeight="1">
      <c r="A1" s="11" t="s">
        <v>174</v>
      </c>
    </row>
    <row r="2" ht="15" customHeight="1"/>
    <row r="3" ht="15" customHeight="1">
      <c r="A3" s="15" t="s">
        <v>175</v>
      </c>
      <c r="B3" s="15" t="s">
        <v>77</v>
      </c>
      <c r="C3" s="15" t="s">
        <v>176</v>
      </c>
      <c r="E3" s="12" t="s">
        <v>177</v>
      </c>
    </row>
    <row r="4" ht="15" customHeight="1">
      <c r="A4" t="s">
        <v>115</v>
      </c>
      <c r="B4" t="s">
        <v>83</v>
      </c>
      <c r="C4" s="16">
        <v>600</v>
      </c>
      <c r="E4" s="15" t="s">
        <v>77</v>
      </c>
      <c r="F4" s="15" t="s">
        <v>178</v>
      </c>
      <c r="G4" s="15" t="s">
        <v>179</v>
      </c>
      <c r="H4" s="15" t="s">
        <v>180</v>
      </c>
      <c r="I4" s="15" t="s">
        <v>181</v>
      </c>
    </row>
    <row r="5" ht="15" customHeight="1">
      <c r="A5" t="s">
        <v>115</v>
      </c>
      <c r="B5" t="s">
        <v>87</v>
      </c>
      <c r="C5" s="16">
        <v>200</v>
      </c>
      <c r="E5" t="s">
        <v>83</v>
      </c>
      <c r="F5" s="18" t="e">
        <f t="shared" si="0" ref="F5:F12">VLOOKUP(E5,A:C,3,FALSE)</f>
        <v>#N/A</v>
      </c>
      <c r="G5" s="18">
        <f>_xlfn.SUMIFS(Transactions!G:G,Transactions!E:E,E5,Transactions!B:B,"&gt;="&amp;DATE(2025,3,1),Transactions!B:B,"&lt;="&amp;DATE(2025,3,31),Transactions!H:H,"Charge")</f>
        <v>546.02</v>
      </c>
      <c r="H5" s="18" t="e">
        <f t="shared" si="1" ref="H5:H12">F5-G5</f>
        <v>#N/A</v>
      </c>
      <c r="I5" s="19">
        <f t="shared" si="2" ref="I5:I12">_xlfn.IFERROR(G5/F5,0)</f>
        <v>0</v>
      </c>
    </row>
    <row r="6" ht="15" customHeight="1">
      <c r="A6" t="s">
        <v>115</v>
      </c>
      <c r="B6" t="s">
        <v>90</v>
      </c>
      <c r="C6" s="16">
        <v>150</v>
      </c>
      <c r="E6" t="s">
        <v>87</v>
      </c>
      <c r="F6" s="18" t="e">
        <f t="shared" si="0"/>
        <v>#N/A</v>
      </c>
      <c r="G6" s="18">
        <f>_xlfn.SUMIFS(Transactions!G:G,Transactions!E:E,E6,Transactions!B:B,"&gt;="&amp;DATE(2025,3,1),Transactions!B:B,"&lt;="&amp;DATE(2025,3,31),Transactions!H:H,"Charge")</f>
        <v>175.58</v>
      </c>
      <c r="H6" s="18" t="e">
        <f t="shared" si="1"/>
        <v>#N/A</v>
      </c>
      <c r="I6" s="19">
        <f t="shared" si="2"/>
        <v>0</v>
      </c>
    </row>
    <row r="7" ht="15" customHeight="1">
      <c r="A7" t="s">
        <v>115</v>
      </c>
      <c r="B7" t="s">
        <v>92</v>
      </c>
      <c r="C7" s="16">
        <v>100</v>
      </c>
      <c r="E7" t="s">
        <v>90</v>
      </c>
      <c r="F7" s="18" t="e">
        <f t="shared" si="0"/>
        <v>#N/A</v>
      </c>
      <c r="G7" s="18">
        <f>_xlfn.SUMIFS(Transactions!G:G,Transactions!E:E,E7,Transactions!B:B,"&gt;="&amp;DATE(2025,3,1),Transactions!B:B,"&lt;="&amp;DATE(2025,3,31),Transactions!H:H,"Charge")</f>
        <v>165.36</v>
      </c>
      <c r="H7" s="18" t="e">
        <f t="shared" si="1"/>
        <v>#N/A</v>
      </c>
      <c r="I7" s="19">
        <f t="shared" si="2"/>
        <v>0</v>
      </c>
    </row>
    <row r="8" ht="15" customHeight="1">
      <c r="A8" t="s">
        <v>115</v>
      </c>
      <c r="B8" t="s">
        <v>95</v>
      </c>
      <c r="C8" s="16">
        <v>130</v>
      </c>
      <c r="E8" t="s">
        <v>92</v>
      </c>
      <c r="F8" s="18" t="e">
        <f t="shared" si="0"/>
        <v>#N/A</v>
      </c>
      <c r="G8" s="18">
        <f>_xlfn.SUMIFS(Transactions!G:G,Transactions!E:E,E8,Transactions!B:B,"&gt;="&amp;DATE(2025,3,1),Transactions!B:B,"&lt;="&amp;DATE(2025,3,31),Transactions!H:H,"Charge")</f>
        <v>91.99</v>
      </c>
      <c r="H8" s="18" t="e">
        <f t="shared" si="1"/>
        <v>#N/A</v>
      </c>
      <c r="I8" s="19">
        <f t="shared" si="2"/>
        <v>0</v>
      </c>
    </row>
    <row r="9" ht="15" customHeight="1">
      <c r="A9" t="s">
        <v>115</v>
      </c>
      <c r="B9" t="s">
        <v>97</v>
      </c>
      <c r="C9" s="16">
        <v>50</v>
      </c>
      <c r="E9" t="s">
        <v>95</v>
      </c>
      <c r="F9" s="18" t="e">
        <f t="shared" si="0"/>
        <v>#N/A</v>
      </c>
      <c r="G9" s="18">
        <f>_xlfn.SUMIFS(Transactions!G:G,Transactions!E:E,E9,Transactions!B:B,"&gt;="&amp;DATE(2025,3,1),Transactions!B:B,"&lt;="&amp;DATE(2025,3,31),Transactions!H:H,"Charge")</f>
        <v>125.67</v>
      </c>
      <c r="H9" s="18" t="e">
        <f t="shared" si="1"/>
        <v>#N/A</v>
      </c>
      <c r="I9" s="19">
        <f t="shared" si="2"/>
        <v>0</v>
      </c>
    </row>
    <row r="10" ht="15" customHeight="1">
      <c r="A10" t="s">
        <v>115</v>
      </c>
      <c r="B10" t="s">
        <v>98</v>
      </c>
      <c r="C10" s="16">
        <v>300</v>
      </c>
      <c r="E10" t="s">
        <v>97</v>
      </c>
      <c r="F10" s="18" t="e">
        <f t="shared" si="0"/>
        <v>#N/A</v>
      </c>
      <c r="G10" s="18">
        <f>_xlfn.SUMIFS(Transactions!G:G,Transactions!E:E,E10,Transactions!B:B,"&gt;="&amp;DATE(2025,3,1),Transactions!B:B,"&lt;="&amp;DATE(2025,3,31),Transactions!H:H,"Charge")</f>
        <v>26.98</v>
      </c>
      <c r="H10" s="18" t="e">
        <f t="shared" si="1"/>
        <v>#N/A</v>
      </c>
      <c r="I10" s="19">
        <f t="shared" si="2"/>
        <v>0</v>
      </c>
    </row>
    <row r="11" ht="15" customHeight="1">
      <c r="A11" t="s">
        <v>115</v>
      </c>
      <c r="B11" t="s">
        <v>99</v>
      </c>
      <c r="C11" s="16">
        <v>100</v>
      </c>
      <c r="E11" t="s">
        <v>98</v>
      </c>
      <c r="F11" s="18" t="e">
        <f t="shared" si="0"/>
        <v>#N/A</v>
      </c>
      <c r="G11" s="18">
        <f>_xlfn.SUMIFS(Transactions!G:G,Transactions!E:E,E11,Transactions!B:B,"&gt;="&amp;DATE(2025,3,1),Transactions!B:B,"&lt;="&amp;DATE(2025,3,31),Transactions!H:H,"Charge")</f>
        <v>680.44</v>
      </c>
      <c r="H11" s="18" t="e">
        <f t="shared" si="1"/>
        <v>#N/A</v>
      </c>
      <c r="I11" s="19">
        <f t="shared" si="2"/>
        <v>0</v>
      </c>
    </row>
    <row r="12" ht="15" customHeight="1">
      <c r="A12" s="20" t="s">
        <v>182</v>
      </c>
      <c r="C12" s="21">
        <f>SUM(C4:C11)</f>
        <v>1630</v>
      </c>
      <c r="E12" t="s">
        <v>99</v>
      </c>
      <c r="F12" s="18" t="e">
        <f t="shared" si="0"/>
        <v>#N/A</v>
      </c>
      <c r="G12" s="18">
        <f>_xlfn.SUMIFS(Transactions!G:G,Transactions!E:E,E12,Transactions!B:B,"&gt;="&amp;DATE(2025,3,1),Transactions!B:B,"&lt;="&amp;DATE(2025,3,31),Transactions!H:H,"Charge")</f>
        <v>0</v>
      </c>
      <c r="H12" s="18" t="e">
        <f t="shared" si="1"/>
        <v>#N/A</v>
      </c>
      <c r="I12" s="19">
        <f t="shared" si="2"/>
        <v>0</v>
      </c>
    </row>
    <row r="13" ht="15" customHeight="1"/>
    <row r="14" ht="15" customHeight="1"/>
    <row r="15" ht="15" customHeight="1"/>
    <row r="1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>
    <mergeCell ref="A1:D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231B528-B63A-23C9-B3C5-3433AEF94BA8}" mc:Ignorable="x14ac xr xr2 xr3">
  <dimension ref="A1:GR1000"/>
  <sheetViews>
    <sheetView topLeftCell="A1" workbookViewId="0">
      <selection activeCell="A1" sqref="A1:G1"/>
    </sheetView>
  </sheetViews>
  <sheetFormatPr defaultRowHeight="15" defaultColWidth="8.8515625" customHeight="1"/>
  <cols>
    <col min="1" max="1" width="12.8515625" customWidth="1"/>
    <col min="2" max="3" width="19.28125" customWidth="1"/>
    <col min="4" max="5" width="16.421875" customWidth="1"/>
    <col min="6" max="6" width="19.28125" customWidth="1"/>
    <col min="7" max="7" width="16.421875" customWidth="1"/>
  </cols>
  <sheetData>
    <row r="1" ht="22.5" customHeight="1">
      <c r="A1" s="11" t="s">
        <v>183</v>
      </c>
    </row>
    <row r="3" ht="15" customHeight="1">
      <c r="A3" s="15" t="s">
        <v>102</v>
      </c>
      <c r="B3" s="15" t="s">
        <v>103</v>
      </c>
      <c r="C3" s="15" t="s">
        <v>184</v>
      </c>
      <c r="D3" s="15" t="s">
        <v>185</v>
      </c>
      <c r="E3" s="15" t="s">
        <v>186</v>
      </c>
      <c r="F3" s="15" t="s">
        <v>187</v>
      </c>
      <c r="G3" s="15" t="s">
        <v>188</v>
      </c>
    </row>
    <row r="4" ht="15" customHeight="1">
      <c r="A4" s="17" t="s">
        <v>189</v>
      </c>
      <c r="B4" t="s">
        <v>85</v>
      </c>
      <c r="C4" s="18">
        <v>500</v>
      </c>
      <c r="D4" s="18">
        <f>_xlfn.SUMIFS(Transactions!G:G,Transactions!C:C,B4,Transactions!B:B,"&gt;="&amp;DATE(2025,3,1),Transactions!B:B,"&lt;="&amp;DATE(2025,3,31),Transactions!H:H,"Charge")</f>
        <v>473.92</v>
      </c>
      <c r="E4" s="18">
        <f>_xlfn.SUMIFS(Transactions!G:G,Transactions!C:C,B4,Transactions!B:B,"&gt;="&amp;DATE(2025,3,1),Transactions!B:B,"&lt;="&amp;DATE(2025,3,31),Transactions!H:H,"Payment")</f>
        <v>-500</v>
      </c>
      <c r="F4" s="18">
        <f t="shared" si="0" ref="F4:F7">C4+D4+E4</f>
        <v>473.92</v>
      </c>
      <c r="G4" s="19">
        <f>_xlfn.IFERROR(F4/VLOOKUP(B4,Settings!D10:G13,4,FALSE),0)</f>
        <v>0.047392</v>
      </c>
    </row>
    <row r="5" ht="15" customHeight="1">
      <c r="A5" s="17" t="s">
        <v>189</v>
      </c>
      <c r="B5" t="s">
        <v>88</v>
      </c>
      <c r="C5" s="18">
        <v>1200</v>
      </c>
      <c r="D5" s="18">
        <f>_xlfn.SUMIFS(Transactions!G:G,Transactions!C:C,B5,Transactions!B:B,"&gt;="&amp;DATE(2025,3,1),Transactions!B:B,"&lt;="&amp;DATE(2025,3,31),Transactions!H:H,"Charge")</f>
        <v>413.04</v>
      </c>
      <c r="E5" s="18">
        <f>_xlfn.SUMIFS(Transactions!G:G,Transactions!C:C,B5,Transactions!B:B,"&gt;="&amp;DATE(2025,3,1),Transactions!B:B,"&lt;="&amp;DATE(2025,3,31),Transactions!H:H,"Payment")</f>
        <v>0</v>
      </c>
      <c r="F5" s="18">
        <f t="shared" si="0"/>
        <v>1613.04</v>
      </c>
      <c r="G5" s="19">
        <f>_xlfn.IFERROR(F5/VLOOKUP(B5,Settings!D10:G13,4,FALSE),0)</f>
        <v>0.107536</v>
      </c>
    </row>
    <row r="6" ht="15" customHeight="1">
      <c r="A6" s="17" t="s">
        <v>189</v>
      </c>
      <c r="B6" t="s">
        <v>91</v>
      </c>
      <c r="C6" s="18">
        <v>300</v>
      </c>
      <c r="D6" s="18">
        <f>_xlfn.SUMIFS(Transactions!G:G,Transactions!C:C,B6,Transactions!B:B,"&gt;="&amp;DATE(2025,3,1),Transactions!B:B,"&lt;="&amp;DATE(2025,3,31),Transactions!H:H,"Charge")</f>
        <v>212.64</v>
      </c>
      <c r="E6" s="18">
        <f>_xlfn.SUMIFS(Transactions!G:G,Transactions!C:C,B6,Transactions!B:B,"&gt;="&amp;DATE(2025,3,1),Transactions!B:B,"&lt;="&amp;DATE(2025,3,31),Transactions!H:H,"Payment")</f>
        <v>0</v>
      </c>
      <c r="F6" s="18">
        <f t="shared" si="0"/>
        <v>512.64</v>
      </c>
      <c r="G6" s="19">
        <f>_xlfn.IFERROR(F6/VLOOKUP(B6,Settings!D10:G13,4,FALSE),0)</f>
        <v>0.06408</v>
      </c>
    </row>
    <row r="7" ht="15" customHeight="1">
      <c r="A7" s="17" t="s">
        <v>189</v>
      </c>
      <c r="B7" t="s">
        <v>93</v>
      </c>
      <c r="C7" s="18">
        <v>450</v>
      </c>
      <c r="D7" s="18">
        <f>_xlfn.SUMIFS(Transactions!G:G,Transactions!C:C,B7,Transactions!B:B,"&gt;="&amp;DATE(2025,3,1),Transactions!B:B,"&lt;="&amp;DATE(2025,3,31),Transactions!H:H,"Charge")</f>
        <v>712.44</v>
      </c>
      <c r="E7" s="18">
        <f>_xlfn.SUMIFS(Transactions!G:G,Transactions!C:C,B7,Transactions!B:B,"&gt;="&amp;DATE(2025,3,1),Transactions!B:B,"&lt;="&amp;DATE(2025,3,31),Transactions!H:H,"Payment")</f>
        <v>0</v>
      </c>
      <c r="F7" s="18">
        <f t="shared" si="0"/>
        <v>1162.44</v>
      </c>
      <c r="G7" s="19">
        <f>_xlfn.IFERROR(F7/VLOOKUP(B7,Settings!D10:G13,4,FALSE),0)</f>
        <v>0.09687</v>
      </c>
    </row>
    <row r="9" ht="15" customHeight="1">
      <c r="B9" s="20" t="s">
        <v>190</v>
      </c>
      <c r="C9" s="20">
        <f t="shared" si="1" ref="C9:F9">SUM(C4:C7)</f>
        <v>2450</v>
      </c>
      <c r="D9" s="20">
        <f t="shared" si="1"/>
        <v>1812.04</v>
      </c>
      <c r="E9" s="20">
        <f t="shared" si="1"/>
        <v>-500</v>
      </c>
      <c r="F9" s="20">
        <f t="shared" si="1"/>
        <v>3762.04</v>
      </c>
    </row>
  </sheetData>
  <mergeCells>
    <mergeCell ref="A1:G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CF47748-1868-0E18-2E9E-C8AE809632D8}" mc:Ignorable="x14ac xr xr2 xr3">
  <dimension ref="A1:GR1000"/>
  <sheetViews>
    <sheetView topLeftCell="C37" workbookViewId="0">
      <selection activeCell="G4" sqref="G4:H6"/>
    </sheetView>
  </sheetViews>
  <sheetFormatPr defaultRowHeight="15" defaultColWidth="8.8515625" customHeight="1"/>
  <cols>
    <col min="1" max="1" width="2.140625" customWidth="1"/>
    <col min="2" max="3" width="12.8515625" customWidth="1"/>
    <col min="4" max="4" width="2.140625" customWidth="1"/>
    <col min="5" max="8" width="12.8515625" customWidth="1"/>
  </cols>
  <sheetData>
    <row r="1" ht="25.5" customHeight="1">
      <c r="A1" s="22" t="s">
        <v>191</v>
      </c>
    </row>
    <row r="2" ht="18.75" customHeight="1">
      <c r="A2" s="23" t="s">
        <v>192</v>
      </c>
    </row>
    <row r="3" ht="15" customHeight="1"/>
    <row r="4" ht="15" customHeight="1">
      <c r="B4" s="24" t="s">
        <v>193</v>
      </c>
      <c r="E4" s="24" t="s">
        <v>194</v>
      </c>
      <c r="G4" s="24" t="s">
        <v>195</v>
      </c>
    </row>
    <row r="5" ht="15" customHeight="1">
      <c r="B5" s="25">
        <f>_xlfn.SUMIFS('Monthly Budget'!C:C,'Monthly Budget'!A:A,"2025-03")</f>
        <v>1630</v>
      </c>
      <c r="E5" s="25">
        <f>_xlfn.SUMIFS(Transactions!G:G,Transactions!B:B,"&gt;="&amp;DATE(2025,3,1),Transactions!B:B,"&lt;="&amp;DATE(2025,3,31),Transactions!H:H,"Charge")</f>
        <v>1812.04</v>
      </c>
      <c r="G5" s="26">
        <f>B5-E5</f>
        <v>-182.04</v>
      </c>
    </row>
    <row r="6" ht="15" customHeight="1"/>
    <row r="8" ht="15" customHeight="1">
      <c r="B8" s="24" t="s">
        <v>196</v>
      </c>
      <c r="E8" s="24" t="s">
        <v>197</v>
      </c>
      <c r="G8" s="24" t="s">
        <v>198</v>
      </c>
    </row>
    <row r="9" ht="15" customHeight="1">
      <c r="B9" s="25">
        <f>E5/31</f>
        <v>58.4529032258065</v>
      </c>
      <c r="E9" s="25">
        <f>SUM(CardTracker!F4:F7)</f>
        <v>3762.04</v>
      </c>
      <c r="G9" s="25">
        <f>E9/SUM(Settings!G10:G13)</f>
        <v>0.0836008888888889</v>
      </c>
    </row>
    <row r="26" ht="15" customHeight="1"/>
  </sheetData>
  <mergeCells>
    <mergeCell ref="A1:H1"/>
    <mergeCell ref="A2:H2"/>
    <mergeCell ref="B4:C6"/>
    <mergeCell ref="E4:F6"/>
    <mergeCell ref="G4:H6"/>
    <mergeCell ref="B8:C10"/>
    <mergeCell ref="E8:F10"/>
    <mergeCell ref="G8:H10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drawing r:id="rId1"/>
  <extLst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F6800FCE-44C8-EC08-FB78-F4AE934BB1B8}" mc:Ignorable="x14ac xr xr2 xr3">
  <dimension ref="A1:GR1000"/>
  <sheetViews>
    <sheetView topLeftCell="A1" workbookViewId="0">
      <selection activeCell="A24" sqref="A24"/>
    </sheetView>
  </sheetViews>
  <sheetFormatPr defaultRowHeight="15" defaultColWidth="8.8515625" customHeight="1"/>
  <cols>
    <col min="1" max="1" width="37.00390625" customWidth="1"/>
    <col min="2" max="2" width="12.00390625" customWidth="1"/>
    <col min="3" max="3" width="13.00390625" customWidth="1"/>
    <col min="4" max="4" width="16.421875" customWidth="1"/>
  </cols>
  <sheetData>
    <row r="1" ht="22.5" customHeight="1">
      <c r="A1" s="11" t="s">
        <v>199</v>
      </c>
    </row>
    <row r="3" ht="15" customHeight="1">
      <c r="A3" s="12" t="s">
        <v>200</v>
      </c>
    </row>
    <row r="5" ht="15" customHeight="1">
      <c r="A5" s="15" t="s">
        <v>77</v>
      </c>
      <c r="B5" s="15" t="s">
        <v>201</v>
      </c>
      <c r="C5" s="15" t="s">
        <v>202</v>
      </c>
    </row>
    <row r="6" ht="15" customHeight="1">
      <c r="A6" t="s">
        <v>83</v>
      </c>
      <c r="B6" s="18">
        <f>_xlfn.SUMIFS(Transactions!G:G,Transactions!E:E,A6,Transactions!B:B,"&gt;="&amp;DATE(2025,3,1),Transactions!B:B,"&lt;="&amp;DATE(2025,3,31),Transactions!H:H,"Charge")</f>
        <v>546.02</v>
      </c>
      <c r="C6" s="19">
        <f>_xlfn.IFERROR(B6/VLOOKUP(A6,'Monthly Budget'!B:C,2,FALSE),0)</f>
        <v>0.910033333333333</v>
      </c>
    </row>
    <row r="7" ht="15" customHeight="1">
      <c r="A7" t="s">
        <v>87</v>
      </c>
      <c r="B7" s="18">
        <f>_xlfn.SUMIFS(Transactions!G:G,Transactions!E:E,A7,Transactions!B:B,"&gt;="&amp;DATE(2025,3,1),Transactions!B:B,"&lt;="&amp;DATE(2025,3,31),Transactions!H:H,"Charge")</f>
        <v>175.58</v>
      </c>
      <c r="C7" s="19">
        <f>_xlfn.IFERROR(B7/VLOOKUP(A7,'Monthly Budget'!B:C,2,FALSE),0)</f>
        <v>0.8779</v>
      </c>
    </row>
    <row r="8" ht="15" customHeight="1">
      <c r="A8" t="s">
        <v>90</v>
      </c>
      <c r="B8" s="18">
        <f>_xlfn.SUMIFS(Transactions!G:G,Transactions!E:E,A8,Transactions!B:B,"&gt;="&amp;DATE(2025,3,1),Transactions!B:B,"&lt;="&amp;DATE(2025,3,31),Transactions!H:H,"Charge")</f>
        <v>165.36</v>
      </c>
      <c r="C8" s="19">
        <f>_xlfn.IFERROR(B8/VLOOKUP(A8,'Monthly Budget'!B:C,2,FALSE),0)</f>
        <v>1.1024</v>
      </c>
    </row>
    <row r="9" ht="15" customHeight="1">
      <c r="A9" t="s">
        <v>92</v>
      </c>
      <c r="B9" s="18">
        <f>_xlfn.SUMIFS(Transactions!G:G,Transactions!E:E,A9,Transactions!B:B,"&gt;="&amp;DATE(2025,3,1),Transactions!B:B,"&lt;="&amp;DATE(2025,3,31),Transactions!H:H,"Charge")</f>
        <v>91.99</v>
      </c>
      <c r="C9" s="19">
        <f>_xlfn.IFERROR(B9/VLOOKUP(A9,'Monthly Budget'!B:C,2,FALSE),0)</f>
        <v>0.9199</v>
      </c>
    </row>
    <row r="10" ht="15" customHeight="1">
      <c r="A10" t="s">
        <v>95</v>
      </c>
      <c r="B10" s="18">
        <f>_xlfn.SUMIFS(Transactions!G:G,Transactions!E:E,A10,Transactions!B:B,"&gt;="&amp;DATE(2025,3,1),Transactions!B:B,"&lt;="&amp;DATE(2025,3,31),Transactions!H:H,"Charge")</f>
        <v>125.67</v>
      </c>
      <c r="C10" s="19">
        <f>_xlfn.IFERROR(B10/VLOOKUP(A10,'Monthly Budget'!B:C,2,FALSE),0)</f>
        <v>0.966692307692308</v>
      </c>
    </row>
    <row r="11" ht="15" customHeight="1">
      <c r="A11" t="s">
        <v>97</v>
      </c>
      <c r="B11" s="18">
        <f>_xlfn.SUMIFS(Transactions!G:G,Transactions!E:E,A11,Transactions!B:B,"&gt;="&amp;DATE(2025,3,1),Transactions!B:B,"&lt;="&amp;DATE(2025,3,31),Transactions!H:H,"Charge")</f>
        <v>26.98</v>
      </c>
      <c r="C11" s="19">
        <f>_xlfn.IFERROR(B11/VLOOKUP(A11,'Monthly Budget'!B:C,2,FALSE),0)</f>
        <v>0.5396</v>
      </c>
    </row>
    <row r="12" ht="15" customHeight="1">
      <c r="A12" t="s">
        <v>98</v>
      </c>
      <c r="B12" s="18">
        <f>_xlfn.SUMIFS(Transactions!G:G,Transactions!E:E,A12,Transactions!B:B,"&gt;="&amp;DATE(2025,3,1),Transactions!B:B,"&lt;="&amp;DATE(2025,3,31),Transactions!H:H,"Charge")</f>
        <v>680.44</v>
      </c>
      <c r="C12" s="19">
        <f>_xlfn.IFERROR(B12/VLOOKUP(A12,'Monthly Budget'!B:C,2,FALSE),0)</f>
        <v>2.26813333333333</v>
      </c>
    </row>
    <row r="13" ht="15" customHeight="1">
      <c r="A13" t="s">
        <v>99</v>
      </c>
      <c r="B13" s="18">
        <f>_xlfn.SUMIFS(Transactions!G:G,Transactions!E:E,A13,Transactions!B:B,"&gt;="&amp;DATE(2025,3,1),Transactions!B:B,"&lt;="&amp;DATE(2025,3,31),Transactions!H:H,"Charge")</f>
        <v>0</v>
      </c>
      <c r="C13" s="19">
        <f>_xlfn.IFERROR(B13/VLOOKUP(A13,'Monthly Budget'!B:C,2,FALSE),0)</f>
        <v>0</v>
      </c>
    </row>
    <row r="15" ht="15" customHeight="1">
      <c r="A15" s="12" t="s">
        <v>203</v>
      </c>
    </row>
    <row r="17" ht="15" customHeight="1">
      <c r="A17" s="15" t="s">
        <v>103</v>
      </c>
      <c r="B17" s="15" t="s">
        <v>204</v>
      </c>
      <c r="C17" s="15" t="s">
        <v>205</v>
      </c>
      <c r="D17" s="15" t="s">
        <v>206</v>
      </c>
    </row>
    <row r="18" ht="15" customHeight="1">
      <c r="A18" t="s">
        <v>85</v>
      </c>
      <c r="B18">
        <f>_xlfn.COUNTIFS(Transactions!C:C,A18,Transactions!B:B,"&gt;="&amp;DATE(2025,3,1),Transactions!B:B,"&lt;="&amp;DATE(2025,3,31),Transactions!H:H,"Charge")</f>
        <v>6</v>
      </c>
      <c r="C18" s="18">
        <f>_xlfn.SUMIFS(Transactions!G:G,Transactions!C:C,A18,Transactions!B:B,"&gt;="&amp;DATE(2025,3,1),Transactions!B:B,"&lt;="&amp;DATE(2025,3,31),Transactions!H:H,"Charge")</f>
        <v>473.92</v>
      </c>
      <c r="D18" s="18">
        <f t="shared" si="0" ref="D18:D21">_xlfn.IFERROR(C18/B18,0)</f>
        <v>78.9866666666667</v>
      </c>
    </row>
    <row r="19" ht="15" customHeight="1">
      <c r="A19" t="s">
        <v>88</v>
      </c>
      <c r="B19">
        <f>_xlfn.COUNTIFS(Transactions!C:C,A19,Transactions!B:B,"&gt;="&amp;DATE(2025,3,1),Transactions!B:B,"&lt;="&amp;DATE(2025,3,31),Transactions!H:H,"Charge")</f>
        <v>6</v>
      </c>
      <c r="C19" s="18">
        <f>_xlfn.SUMIFS(Transactions!G:G,Transactions!C:C,A19,Transactions!B:B,"&gt;="&amp;DATE(2025,3,1),Transactions!B:B,"&lt;="&amp;DATE(2025,3,31),Transactions!H:H,"Charge")</f>
        <v>413.04</v>
      </c>
      <c r="D19" s="18">
        <f t="shared" si="0"/>
        <v>68.84</v>
      </c>
    </row>
    <row r="20" ht="15" customHeight="1">
      <c r="A20" t="s">
        <v>91</v>
      </c>
      <c r="B20">
        <f>_xlfn.COUNTIFS(Transactions!C:C,A20,Transactions!B:B,"&gt;="&amp;DATE(2025,3,1),Transactions!B:B,"&lt;="&amp;DATE(2025,3,31),Transactions!H:H,"Charge")</f>
        <v>4</v>
      </c>
      <c r="C20" s="18">
        <f>_xlfn.SUMIFS(Transactions!G:G,Transactions!C:C,A20,Transactions!B:B,"&gt;="&amp;DATE(2025,3,1),Transactions!B:B,"&lt;="&amp;DATE(2025,3,31),Transactions!H:H,"Charge")</f>
        <v>212.64</v>
      </c>
      <c r="D20" s="18">
        <f t="shared" si="0"/>
        <v>53.16</v>
      </c>
    </row>
    <row r="21" ht="15" customHeight="1">
      <c r="A21" t="s">
        <v>93</v>
      </c>
      <c r="B21">
        <f>_xlfn.COUNTIFS(Transactions!C:C,A21,Transactions!B:B,"&gt;="&amp;DATE(2025,3,1),Transactions!B:B,"&lt;="&amp;DATE(2025,3,31),Transactions!H:H,"Charge")</f>
        <v>4</v>
      </c>
      <c r="C21" s="18">
        <f>_xlfn.SUMIFS(Transactions!G:G,Transactions!C:C,A21,Transactions!B:B,"&gt;="&amp;DATE(2025,3,1),Transactions!B:B,"&lt;="&amp;DATE(2025,3,31),Transactions!H:H,"Charge")</f>
        <v>712.44</v>
      </c>
      <c r="D21" s="18">
        <f t="shared" si="0"/>
        <v>178.11</v>
      </c>
    </row>
    <row r="24" ht="15" customHeight="1">
      <c r="A24" s="27" t="s">
        <v>207</v>
      </c>
    </row>
    <row r="26" ht="15" customHeight="1">
      <c r="A26" s="28" t="s">
        <v>104</v>
      </c>
      <c r="B26" s="28" t="s">
        <v>201</v>
      </c>
      <c r="C26" s="28" t="s">
        <v>204</v>
      </c>
    </row>
    <row r="27" ht="15" customHeight="1">
      <c r="A27" s="13" t="s">
        <v>156</v>
      </c>
      <c r="B27" s="18">
        <v>299.99</v>
      </c>
      <c r="C27" s="14">
        <v>1</v>
      </c>
    </row>
    <row r="28" ht="15" customHeight="1">
      <c r="A28" s="13" t="s">
        <v>127</v>
      </c>
      <c r="B28" s="18">
        <v>234.67</v>
      </c>
      <c r="C28" s="14">
        <v>1</v>
      </c>
    </row>
    <row r="29" ht="15" customHeight="1">
      <c r="A29" s="13" t="s">
        <v>162</v>
      </c>
      <c r="B29" s="18">
        <v>187.56</v>
      </c>
      <c r="C29" s="14">
        <v>1</v>
      </c>
    </row>
    <row r="30" ht="15" customHeight="1">
      <c r="A30" s="13" t="s">
        <v>112</v>
      </c>
      <c r="B30" s="18">
        <v>156.78</v>
      </c>
      <c r="C30" s="14">
        <v>1</v>
      </c>
    </row>
    <row r="31" ht="15" customHeight="1">
      <c r="A31" s="13" t="s">
        <v>168</v>
      </c>
      <c r="B31" s="18">
        <v>145.78</v>
      </c>
      <c r="C31" s="14">
        <v>1</v>
      </c>
    </row>
    <row r="32" ht="15" customHeight="1">
      <c r="A32" s="13" t="s">
        <v>153</v>
      </c>
      <c r="B32" s="18">
        <v>125.67</v>
      </c>
      <c r="C32" s="14">
        <v>1</v>
      </c>
    </row>
    <row r="33" ht="15" customHeight="1">
      <c r="A33" s="13" t="s">
        <v>145</v>
      </c>
      <c r="B33" s="18">
        <v>112.45</v>
      </c>
      <c r="C33" s="14">
        <v>1</v>
      </c>
    </row>
    <row r="34" ht="15" customHeight="1">
      <c r="A34" s="13" t="s">
        <v>133</v>
      </c>
      <c r="B34" s="18">
        <v>89.23</v>
      </c>
      <c r="C34" s="14">
        <v>1</v>
      </c>
    </row>
    <row r="35" ht="15" customHeight="1">
      <c r="A35" s="13" t="s">
        <v>159</v>
      </c>
      <c r="B35" s="18">
        <v>78.34</v>
      </c>
      <c r="C35" s="14">
        <v>1</v>
      </c>
    </row>
    <row r="36" ht="15" customHeight="1">
      <c r="A36" s="13" t="s">
        <v>165</v>
      </c>
      <c r="B36" s="18">
        <v>59.99</v>
      </c>
      <c r="C36" s="14">
        <v>1</v>
      </c>
    </row>
  </sheetData>
  <mergeCells>
    <mergeCell ref="A1:D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4F2F1C8-9063-1A28-DF28-BA2321047301}" mc:Ignorable="x14ac xr xr2 xr3">
  <dimension ref="A1:GR1000"/>
  <sheetViews>
    <sheetView topLeftCell="A1" workbookViewId="0">
      <selection activeCell="A1" sqref="A1:E1"/>
    </sheetView>
  </sheetViews>
  <sheetFormatPr defaultRowHeight="15" defaultColWidth="8.8515625" customHeight="1"/>
  <cols>
    <col min="1" max="1" width="21.421875" customWidth="1"/>
    <col min="2" max="5" width="19.28125" customWidth="1"/>
  </cols>
  <sheetData>
    <row r="1" ht="22.5" customHeight="1">
      <c r="A1" s="11" t="s">
        <v>208</v>
      </c>
    </row>
    <row r="3" ht="15" customHeight="1">
      <c r="A3" s="12" t="s">
        <v>209</v>
      </c>
    </row>
    <row r="5" ht="15" customHeight="1">
      <c r="A5" s="15" t="s">
        <v>210</v>
      </c>
      <c r="B5" s="15" t="s">
        <v>211</v>
      </c>
      <c r="C5" s="15" t="s">
        <v>212</v>
      </c>
      <c r="D5" s="15" t="s">
        <v>213</v>
      </c>
      <c r="E5" s="15" t="s">
        <v>214</v>
      </c>
    </row>
    <row r="6" ht="15" customHeight="1">
      <c r="A6" t="s">
        <v>215</v>
      </c>
      <c r="B6" s="18">
        <v>5000</v>
      </c>
      <c r="C6" s="18">
        <v>3200</v>
      </c>
      <c r="D6" s="18">
        <f t="shared" si="0" ref="D6:D9">B6-C6</f>
        <v>1800</v>
      </c>
      <c r="E6" s="19">
        <f t="shared" si="1" ref="E6:E9">_xlfn.IFERROR(C6/B6,0)</f>
        <v>0.64</v>
      </c>
    </row>
    <row r="7" ht="15" customHeight="1">
      <c r="A7" t="s">
        <v>216</v>
      </c>
      <c r="B7" s="18">
        <v>3000</v>
      </c>
      <c r="C7" s="18">
        <v>1500</v>
      </c>
      <c r="D7" s="18">
        <f t="shared" si="0"/>
        <v>1500</v>
      </c>
      <c r="E7" s="19">
        <f t="shared" si="1"/>
        <v>0.5</v>
      </c>
    </row>
    <row r="8" ht="15" customHeight="1">
      <c r="A8" t="s">
        <v>217</v>
      </c>
      <c r="B8" s="18">
        <v>20000</v>
      </c>
      <c r="C8" s="18">
        <v>8000</v>
      </c>
      <c r="D8" s="18">
        <f t="shared" si="0"/>
        <v>12000</v>
      </c>
      <c r="E8" s="19">
        <f t="shared" si="1"/>
        <v>0.4</v>
      </c>
    </row>
    <row r="9" ht="15" customHeight="1">
      <c r="A9" t="s">
        <v>218</v>
      </c>
      <c r="B9" s="18">
        <v>15000</v>
      </c>
      <c r="C9" s="18">
        <v>4500</v>
      </c>
      <c r="D9" s="18">
        <f t="shared" si="0"/>
        <v>10500</v>
      </c>
      <c r="E9" s="19">
        <f t="shared" si="1"/>
        <v>0.3</v>
      </c>
    </row>
    <row r="12" ht="15" customHeight="1">
      <c r="A12" s="12" t="s">
        <v>219</v>
      </c>
    </row>
    <row r="14" ht="15" customHeight="1">
      <c r="A14" s="15" t="s">
        <v>103</v>
      </c>
      <c r="B14" s="15" t="s">
        <v>220</v>
      </c>
      <c r="C14" s="15" t="s">
        <v>221</v>
      </c>
      <c r="D14" s="15" t="s">
        <v>222</v>
      </c>
      <c r="E14" s="15" t="s">
        <v>223</v>
      </c>
    </row>
    <row r="15" ht="15" customHeight="1">
      <c r="A15" t="s">
        <v>85</v>
      </c>
      <c r="B15" s="18">
        <f>CardTracker!F4</f>
        <v>473.92</v>
      </c>
      <c r="C15" s="17" t="s">
        <v>224</v>
      </c>
      <c r="D15" s="18">
        <v>200</v>
      </c>
      <c r="E15">
        <f t="shared" si="2" ref="E15:E18">_xlfn.IFERROR(ROUNDUP(B15/D15,0),0)</f>
        <v>3</v>
      </c>
    </row>
    <row r="16" ht="15" customHeight="1">
      <c r="A16" t="s">
        <v>88</v>
      </c>
      <c r="B16" s="18">
        <f>CardTracker!F5</f>
        <v>1613.04</v>
      </c>
      <c r="C16" s="17" t="s">
        <v>225</v>
      </c>
      <c r="D16" s="18">
        <v>400</v>
      </c>
      <c r="E16">
        <f t="shared" si="2"/>
        <v>5</v>
      </c>
    </row>
    <row r="17" ht="15" customHeight="1">
      <c r="A17" t="s">
        <v>91</v>
      </c>
      <c r="B17" s="18">
        <f>CardTracker!F6</f>
        <v>512.64</v>
      </c>
      <c r="C17" s="17" t="s">
        <v>226</v>
      </c>
      <c r="D17" s="18">
        <v>150</v>
      </c>
      <c r="E17">
        <f t="shared" si="2"/>
        <v>4</v>
      </c>
    </row>
    <row r="18" ht="15" customHeight="1">
      <c r="A18" t="s">
        <v>93</v>
      </c>
      <c r="B18" s="18">
        <f>CardTracker!F7</f>
        <v>1162.44</v>
      </c>
      <c r="C18" s="17" t="s">
        <v>224</v>
      </c>
      <c r="D18" s="18">
        <v>250</v>
      </c>
      <c r="E18">
        <f t="shared" si="2"/>
        <v>5</v>
      </c>
    </row>
  </sheetData>
  <mergeCells>
    <mergeCell ref="A1:E1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2025-12-26T07:38:59Z</dcterms:created>
</cp:coreProperties>
</file>